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020" windowHeight="11235" activeTab="5"/>
  </bookViews>
  <sheets>
    <sheet name="2" sheetId="1" r:id="rId1"/>
    <sheet name="3" sheetId="2" r:id="rId2"/>
    <sheet name="4" sheetId="3" r:id="rId3"/>
    <sheet name="5" sheetId="4" r:id="rId4"/>
    <sheet name="6" sheetId="5" r:id="rId5"/>
    <sheet name="7" sheetId="6" r:id="rId6"/>
    <sheet name="8 " sheetId="7" r:id="rId7"/>
  </sheets>
  <definedNames>
    <definedName name="_xlnm.Print_Titles" localSheetId="0">'2'!$9:$9</definedName>
    <definedName name="_xlnm.Print_Titles" localSheetId="1">'3'!$9:$9</definedName>
    <definedName name="_xlnm.Print_Area" localSheetId="0">'2'!$A$1:$V$114</definedName>
    <definedName name="_xlnm.Print_Area" localSheetId="1">'3'!$A$1:$W$114</definedName>
    <definedName name="_xlnm.Print_Area" localSheetId="2">'4'!$A$1:$X$168</definedName>
    <definedName name="_xlnm.Print_Area" localSheetId="3">'5'!$A$1:$V$142</definedName>
    <definedName name="_xlnm.Print_Area" localSheetId="5">'7'!$A$1:$V$38</definedName>
    <definedName name="_xlnm.Print_Area" localSheetId="6">'8 '!$A$1:$Y$415</definedName>
  </definedNames>
  <calcPr fullCalcOnLoad="1"/>
</workbook>
</file>

<file path=xl/sharedStrings.xml><?xml version="1.0" encoding="utf-8"?>
<sst xmlns="http://schemas.openxmlformats.org/spreadsheetml/2006/main" count="2471" uniqueCount="765">
  <si>
    <t>(Ñ³½³ñ ¹ñ³ÙÝ»ñáí)</t>
  </si>
  <si>
    <t>îáÕÇ NN</t>
  </si>
  <si>
    <t>ºÏ³Ùï³ï»ë³ÏÝ»ñÁ</t>
  </si>
  <si>
    <t>Ðá¹í³ÍÇ NN</t>
  </si>
  <si>
    <t>ÀÝ¹³Ù»ÝÁ</t>
  </si>
  <si>
    <t>³Û¹ ÃíáõÙ`</t>
  </si>
  <si>
    <t>í³ñã³Ï³Ý µÛáõç»</t>
  </si>
  <si>
    <t>ýáÝ¹³ÛÇÝ µÛáõç»</t>
  </si>
  <si>
    <t>1000</t>
  </si>
  <si>
    <t>ÀÜ¸²ØºÜÀ ºÎ²ØàôîÜºð</t>
  </si>
  <si>
    <t/>
  </si>
  <si>
    <t>1100</t>
  </si>
  <si>
    <t>1. Ð²ðÎºð ºì îàôðøºð     (ïáÕ 1110 + ïáÕ 1120 + ïáÕ 1130 +ïáÕ1140+ ïáÕ 1150 ) ,                   ³Û¹ ÃíáõÙ`</t>
  </si>
  <si>
    <t>7100</t>
  </si>
  <si>
    <t>1110</t>
  </si>
  <si>
    <t>1.1 ¶áõÛù³ÛÇÝ Ñ³ñÏ»ñ ³Ýß³ñÅ ·áõÛùÇó (ïáÕ 1111 + ïáÕ 1112+ïáÕ1113),                                            ³Û¹ ÃíáõÙ`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</si>
  <si>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</si>
  <si>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</si>
  <si>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</si>
  <si>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</si>
  <si>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</si>
  <si>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</si>
  <si>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</si>
  <si>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</si>
  <si>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</si>
  <si>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</si>
  <si>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</si>
  <si>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</si>
  <si>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</si>
  <si>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</si>
  <si>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</si>
  <si>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</si>
  <si>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</si>
  <si>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</si>
  <si>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</si>
  <si>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</si>
  <si>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</si>
  <si>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</si>
  <si>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</si>
  <si>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</si>
  <si>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</si>
  <si>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</si>
  <si>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</si>
  <si>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</si>
  <si>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</si>
  <si>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</si>
  <si>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</si>
  <si>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</si>
  <si>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</si>
  <si>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</si>
  <si>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</si>
  <si>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</si>
  <si>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</si>
  <si>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</si>
  <si>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</si>
  <si>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</si>
  <si>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</si>
  <si>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</si>
  <si>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</si>
  <si>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</si>
  <si>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</si>
  <si>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</si>
  <si>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</si>
  <si>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</si>
  <si>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</si>
  <si>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</si>
  <si>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</si>
  <si>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</si>
  <si>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</si>
  <si>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</si>
  <si>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</si>
  <si>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</si>
  <si>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</si>
  <si>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</si>
  <si>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</si>
  <si>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2. ä²ÞîàÜ²Î²Ü ¸ð²Ø²ÞÜàðÐÜºð              (ïáÕ 1210 + ïáÕ 1220 + ïáÕ 1230 + ïáÕ 1240 + ïáÕ 1250 + ïáÕ 1260),                               ³Û¹ ÃíáõÙ`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</si>
  <si>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</si>
  <si>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</si>
  <si>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</si>
  <si>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</si>
  <si>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</si>
  <si>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</si>
  <si>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</si>
  <si>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</si>
  <si>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</si>
  <si>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</si>
  <si>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</si>
  <si>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</si>
  <si>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</si>
  <si>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7331</t>
  </si>
  <si>
    <t>1251</t>
  </si>
  <si>
    <t>ä»ï³Ï³Ý µÛáõç»Çó ýÇÝ³Ýë³Ï³Ý Ñ³Ù³Ñ³ñÃ»óÙ³Ý ëÏ½µáõÝùáí ïñ³Ù³¹ñíáÕ ¹áï³óÇ³Ý»ñ</t>
  </si>
  <si>
    <t>1255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</si>
  <si>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</si>
  <si>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</si>
  <si>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         ³Û¹ ÃíáõÙ`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</si>
  <si>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</si>
  <si>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</si>
  <si>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</si>
  <si>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</si>
  <si>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3. ²ÚÈ ºÎ²ØàôîÜºð                                   (ïáÕ 1310 + ïáÕ 1320 + ïáÕ 1330 + ïáÕ 1340 + ïáÕ 1350 + ïáÕ 1360 + ïáÕ 1370 + ïáÕ 1380 + ïáÕ 1390),                                                        ³Û¹ ÃíáõÙ`</t>
  </si>
  <si>
    <t>7400</t>
  </si>
  <si>
    <t>1320</t>
  </si>
  <si>
    <t>3.2 Þ³Ñ³µ³ÅÇÝÝ»ñ,                                         ³Û¹ ÃíáõÙ`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</si>
  <si>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</si>
  <si>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</si>
  <si>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</si>
  <si>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</si>
  <si>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3.3 ¶áõÛùÇ í³ñÓ³Ï³ÉáõÃÛáõÝÇó »Ï³ÙáõïÝ»ñ  (ïáÕ 1331 + ïáÕ 1332 + ïáÕ 1333 +  ïáÕ 1334),   ³Û¹ ÃíáõÙ`</t>
  </si>
  <si>
    <t>7415</t>
  </si>
  <si>
    <t>1331</t>
  </si>
  <si>
    <t>Ð³Ù³ÛÝùÇ ë»÷³Ï³ÝáõÃÛáõÝ Ñ³Ù³ñíáÕ ÑáÕ»ñÇ í³ñÓ³í×³ñÝ»ñ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</si>
  <si>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</si>
  <si>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</si>
  <si>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</si>
  <si>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</si>
  <si>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</si>
  <si>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</si>
  <si>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</si>
  <si>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</si>
  <si>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</si>
  <si>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</si>
  <si>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3.5 ì³ñã³Ï³Ý ·³ÝÓáõÙÝ»ñ (ïáÕ 1351 + ïáÕ 1352+ïáÕ 1353),                                                        ³Û¹ ÃíáõÙ`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</si>
  <si>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</si>
  <si>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</si>
  <si>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</si>
  <si>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</si>
  <si>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</si>
  <si>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</si>
  <si>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</si>
  <si>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</si>
  <si>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</si>
  <si>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</si>
  <si>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</si>
  <si>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</si>
  <si>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</si>
  <si>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</si>
  <si>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</si>
  <si>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</si>
  <si>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</si>
  <si>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</si>
  <si>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</si>
  <si>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</si>
  <si>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</si>
  <si>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</si>
  <si>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</si>
  <si>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</si>
  <si>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</si>
  <si>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</si>
  <si>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</si>
  <si>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</si>
  <si>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</si>
  <si>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</si>
  <si>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</si>
  <si>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</si>
  <si>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</si>
  <si>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</si>
  <si>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</si>
  <si>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</si>
  <si>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</si>
  <si>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</si>
  <si>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</si>
  <si>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</si>
  <si>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</si>
  <si>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</si>
  <si>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 (ïáÕ 1371 + ïáÕ 1372),                                ³Û¹ ÃíáõÙ`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</si>
  <si>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</si>
  <si>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</si>
  <si>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</si>
  <si>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</si>
  <si>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3.8 Î³åÇï³É áã å³ßïáÝ³Ï³Ý ¹ñ³Ù³ßÝáñÑÝ»ñ    (ïáÕ 1381 + ïáÕ 1382),                                   ³Û¹ ÃíáõÙ`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</si>
  <si>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</si>
  <si>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</si>
  <si>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</si>
  <si>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</si>
  <si>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3.9 ²ÛÉ »Ï³ÙáõïÝ»ñ                    (ïáÕ 1391 + ïáÕ 1392 + ïáÕ 1393),                                  ³Û¹ ÃíáõÙ`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</si>
  <si>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</si>
  <si>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</si>
  <si>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</si>
  <si>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</si>
  <si>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</si>
  <si>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</si>
  <si>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</si>
  <si>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 xml:space="preserve">2023 թվական </t>
  </si>
  <si>
    <t xml:space="preserve">2024 թվական </t>
  </si>
  <si>
    <t xml:space="preserve">2025 թվական </t>
  </si>
  <si>
    <t>3.6 Øáõïù»ñ ïáõÛÅ»ñÇó, ïáõ·³ÝùÝ»ñÇó      (ïáÕ 1361 + ïáÕ 1362)
³Û¹ ÃíáõÙ`</t>
  </si>
  <si>
    <t>´³ÅÇÝ</t>
  </si>
  <si>
    <t>ÊáõÙµ</t>
  </si>
  <si>
    <t>¸³ë</t>
  </si>
  <si>
    <t>´Ûáõç»ï³ÛÇÝ Í³Ëë»ñÇ ·áñÍ³é³Ï³Ý ¹³ë³Ï³ñ·Ù³Ý µ³ÅÇÝÝ»ñÇ, ËÙµ»ñÇ ¨ ¹³ë»ñÇ ³Ýí³ÝáõÙÝ»ñÁ</t>
  </si>
  <si>
    <t>ÀÜ¸²ØºÜÀ Ì²Êêºð</t>
  </si>
  <si>
    <t>2100</t>
  </si>
  <si>
    <t>01</t>
  </si>
  <si>
    <t>0</t>
  </si>
  <si>
    <t>ÀÜ¸Ð²Üàôð ´ÜàôÚÂÆ Ð²Üð²ÚÆÜ Ì²è²ÚàôÂÚàôÜÜºð</t>
  </si>
  <si>
    <t>2110</t>
  </si>
  <si>
    <t>1</t>
  </si>
  <si>
    <t>úñ»Ýë¹Çñ ¨ ·áñÍ³¹Çñ  Ù³ñÙÇÝÝ»ñ, å»ï³Ï³Ý Ï³é³í³ñáõÙ, ýÇÝ³Ýë³Ï³Ý ¨ Ñ³ñÏ³µÛáõç»ï³ÛÇÝ Ñ³ñ³µ»ñáõÃÛáõÝÝ»ñ, ³ñï³ùÇÝ Ñ³ñ³µ»ñáõÃÛáõÝÝ»ñ</t>
  </si>
  <si>
    <t>áñÇó`</t>
  </si>
  <si>
    <t>2111</t>
  </si>
  <si>
    <t>úñ»Ýë¹Çñ ¨  ·áñÍ³¹Çñ Ù³ñÙÇÝÝ»ñ, å»ï³Ï³Ý Ï³é³í³ñáõÙ</t>
  </si>
  <si>
    <t>2113</t>
  </si>
  <si>
    <t>3</t>
  </si>
  <si>
    <t>²ñï³ùÇÝ Ñ³ñ³µ»ñáõÃÛáõÝÝ»ñ</t>
  </si>
  <si>
    <t>2130</t>
  </si>
  <si>
    <t>ÀÝ¹Ñ³Ýáõñ µÝáõÛÃÇ Í³é³ÛáõÃÛáõÝÝ»ñ</t>
  </si>
  <si>
    <t>2131</t>
  </si>
  <si>
    <t>²ßË³ï³Ï³½ÙÇ /Ï³¹ñ»ñÇ/ ·Íáí ÁÝ¹Ñ³Ýáõñ µÝáõÛÃÇ Í³é³ÛáõÃÛáõÝÝ»ñ</t>
  </si>
  <si>
    <t>2150</t>
  </si>
  <si>
    <t>5</t>
  </si>
  <si>
    <t>ÀÝ¹Ñ³Ýáõñ µÝáõÛÃÇ Ñ³Ýñ³ÛÇÝ Í³é³ÛáõÃÛáõÝÝ»ñÇ ·Íáí Ñ»ï³½áï³Ï³Ý ¨ Ý³Ë³·Í³ÛÇÝ ³ßË³ï³ÝùÝ»ñ</t>
  </si>
  <si>
    <t>2151</t>
  </si>
  <si>
    <t>2160</t>
  </si>
  <si>
    <t>6</t>
  </si>
  <si>
    <t>ÀÝ¹Ñ³Ýáõñ µÝáõÛÃÇ Ñ³Ýñ³ÛÇÝ Í³é³ÛáõÃÛáõÝÝ»ñ (³ÛÉ ¹³ë»ñÇÝ ãå³ïÏ³ÝáÕ)</t>
  </si>
  <si>
    <t>2161</t>
  </si>
  <si>
    <t>2200</t>
  </si>
  <si>
    <t>02</t>
  </si>
  <si>
    <t>ä²Þîä²ÜàôÂÚàôÜ</t>
  </si>
  <si>
    <t>2220</t>
  </si>
  <si>
    <t>2</t>
  </si>
  <si>
    <t>ø³Õ³ù³óÇ³Ï³Ý å³ßïå³ÝáõÃÛáõÝ</t>
  </si>
  <si>
    <t>2221</t>
  </si>
  <si>
    <t>2250</t>
  </si>
  <si>
    <t>ä³ßïå³ÝáõÃÛáõÝ (³ÛÉ ¹³ë»ñÇÝ ãå³ïÏ³ÝáÕ)</t>
  </si>
  <si>
    <t>2251</t>
  </si>
  <si>
    <t>2400</t>
  </si>
  <si>
    <t>04</t>
  </si>
  <si>
    <t>îÜîºê²Î²Ü Ð²ð²´ºðàôÂÚàôÜÜºð</t>
  </si>
  <si>
    <t>2410</t>
  </si>
  <si>
    <t>ÀÝ¹Ñ³Ýáõñ µÝáõÛÃÇ ïÝï»ë³Ï³Ý, ³é¨ïñ³ÛÇÝ ¨ ³ßË³ï³ÝùÇ ·Íáí Ñ³ñ³µ»ñáõÃÛáõÝÝ»ñ</t>
  </si>
  <si>
    <t>2411</t>
  </si>
  <si>
    <t>ÀÝ¹Ñ³Ýáõñ µÝáõÛÃÇ ïÝï»ë³Ï³Ý ¨ ³é¨ïñ³ÛÇÝ  Ñ³ñ³µ»ñáõÃÛáõÝÝ»ñ</t>
  </si>
  <si>
    <t>2420</t>
  </si>
  <si>
    <t>¶ÛáõÕ³ïÝï»ëáõÃÛáõÝ, ³Ýï³é³ÛÇÝ ïÝï»ëáõÃÛáõÝ, ÓÏÝáñëáõÃÛáõÝ ¨ áñëáñ¹áõÃÛáõÝ</t>
  </si>
  <si>
    <t>2424</t>
  </si>
  <si>
    <t>4</t>
  </si>
  <si>
    <t>àéá·áõÙ</t>
  </si>
  <si>
    <t>2430</t>
  </si>
  <si>
    <t>ì³é»ÉÇù ¨ ¿Ý»ñ·»ïÇÏ³</t>
  </si>
  <si>
    <t>2435</t>
  </si>
  <si>
    <t>¾É»Ïïñ³¿Ý»ñ·Ç³</t>
  </si>
  <si>
    <t>2450</t>
  </si>
  <si>
    <t>îñ³Ýëåáñï</t>
  </si>
  <si>
    <t>2451</t>
  </si>
  <si>
    <t>Ö³Ý³å³ñÑ³ÛÇÝ ïñ³Ýëåáñï</t>
  </si>
  <si>
    <t>2455</t>
  </si>
  <si>
    <t>ÊáÕáí³Ï³ß³ñ³ÛÇÝ ¨ ³ÛÉ ïñ³Ýëåáñï</t>
  </si>
  <si>
    <t>2470</t>
  </si>
  <si>
    <t>7</t>
  </si>
  <si>
    <t>²ÛÉ µÝ³·³í³éÝ»ñ</t>
  </si>
  <si>
    <t>2473</t>
  </si>
  <si>
    <t>¼µáë³ßñçáõÃÛáõÝ</t>
  </si>
  <si>
    <t>2490</t>
  </si>
  <si>
    <t>9</t>
  </si>
  <si>
    <t>îÝï»ë³Ï³Ý Ñ³ñ³µ»ñáõÃÛáõÝÝ»ñ (³ÛÉ ¹³ë»ñÇÝ ãå³ïÏ³ÝáÕ)</t>
  </si>
  <si>
    <t>2491</t>
  </si>
  <si>
    <t>2500</t>
  </si>
  <si>
    <t>05</t>
  </si>
  <si>
    <t>Þðæ²Î²  ØÆæ²ì²ÚðÆ ä²Þîä²ÜàôÂÚàôÜ</t>
  </si>
  <si>
    <t>2510</t>
  </si>
  <si>
    <t>²Õµ³Ñ³ÝáõÙ</t>
  </si>
  <si>
    <t>2511</t>
  </si>
  <si>
    <t>2520</t>
  </si>
  <si>
    <t>Î»Õï³çñ»ñÇ Ñ»é³óáõÙ</t>
  </si>
  <si>
    <t>2521</t>
  </si>
  <si>
    <t>2530</t>
  </si>
  <si>
    <t>Þñç³Ï³ ÙÇç³í³ÛñÇ ³ÕïáïÙ³Ý ¹»Ù å³Ûù³ñ</t>
  </si>
  <si>
    <t>2531</t>
  </si>
  <si>
    <t>ú¹Ç ³ÕïáïÙ³Ý ¹»Ù å³Ûù³ñ</t>
  </si>
  <si>
    <t>2560</t>
  </si>
  <si>
    <t>Þñç³Ï³ ÙÇç³í³ÛñÇ å³ßïå³ÝáõÃÛáõÝ  (³ÛÉ ¹³ë»ñÇÝ ãå³ïÏ³ÝáÕ)</t>
  </si>
  <si>
    <t>2561</t>
  </si>
  <si>
    <t>2600</t>
  </si>
  <si>
    <t>06</t>
  </si>
  <si>
    <t>´Ü²Î²ð²Ü²ÚÆÜ ÞÆÜ²ð²ðàôÂÚàôÜ ºì ÎàØàôÜ²È Ì²è²ÚàôÂÚàôÜÜºð</t>
  </si>
  <si>
    <t>2610</t>
  </si>
  <si>
    <t>´Ý³Ï³ñ³Ý³ÛÇÝ ßÇÝ³ñ³ñáõÃÛáõÝ</t>
  </si>
  <si>
    <t>2611</t>
  </si>
  <si>
    <t>2640</t>
  </si>
  <si>
    <t>öáÕáóÝ»ñÇ Éáõë³íáñáõÙ</t>
  </si>
  <si>
    <t>2641</t>
  </si>
  <si>
    <t>2650</t>
  </si>
  <si>
    <t>´Ý³Ï³ñ³Ý³ÛÇÝ ßÇÝ³ñ³ñáõÃÛ³Ý ¨ ÏáÙáõÝ³É Í³é³ÛáõÃÛáõÝÝ»ñÇ ·Íáí Ñ»ï³½áï³Ï³Ý ¨ Ý³Ë³·Í³ÛÇÝ ³ßË³ï³ÝùÝ»ñ</t>
  </si>
  <si>
    <t>2651</t>
  </si>
  <si>
    <t>2660</t>
  </si>
  <si>
    <t>´Ý³Ï³ñ³Ý³ÛÇÝ ßÇÝ³ñ³ñáõÃÛ³Ý ¨ ÏáÙáõÝ³É Í³é³ÛáõÃÛáõÝÝ»ñ  (³ÛÉ ¹³ë»ñÇÝ ãå³ïÏ³ÝáÕ)</t>
  </si>
  <si>
    <t>2661</t>
  </si>
  <si>
    <t>2700</t>
  </si>
  <si>
    <t>07</t>
  </si>
  <si>
    <t>²èàÔæ²ä²ÐàôÂÚàôÜ</t>
  </si>
  <si>
    <t>2710</t>
  </si>
  <si>
    <t>´ÅßÏ³Ï³Ý ³åñ³ÝùÝ»ñ, ë³ñù»ñ ¨ ë³ñù³íáñáõÙÝ»ñ</t>
  </si>
  <si>
    <t>2711</t>
  </si>
  <si>
    <t>¸»Õ³·áñÍ³Ï³Ý ³åñ³ÝùÝ»ñ</t>
  </si>
  <si>
    <t>2760</t>
  </si>
  <si>
    <t>²éáÕç³å³ÑáõÃÛáõÝ (³ÛÉ ¹³ë»ñÇÝ ãå³ïÏ³ÝáÕ)</t>
  </si>
  <si>
    <t>2761</t>
  </si>
  <si>
    <t>²éáÕç³å³Ñ³Ï³Ý Ñ³ñ³ÏÇó Í³é³ÛáõÃÛáõÝÝ»ñ ¨ Íñ³·ñ»ñ</t>
  </si>
  <si>
    <t>2800</t>
  </si>
  <si>
    <t>08</t>
  </si>
  <si>
    <t>Ð²Ü¶Æêî, ØÞ²ÎàôÚÂ ºì ÎðàÜ</t>
  </si>
  <si>
    <t>2810</t>
  </si>
  <si>
    <t>Ð³Ý·ëïÇ ¨ ëåáñïÇ Í³é³ÛáõÃÛáõÝÝ»ñ</t>
  </si>
  <si>
    <t>2811</t>
  </si>
  <si>
    <t>2820</t>
  </si>
  <si>
    <t>Øß³ÏáõÃ³ÛÇÝ Í³é³ÛáõÃÛáõÝÝ»ñ</t>
  </si>
  <si>
    <t>2821</t>
  </si>
  <si>
    <t>¶ñ³¹³ñ³ÝÝ»ñ</t>
  </si>
  <si>
    <t>2822</t>
  </si>
  <si>
    <t>Â³Ý·³ñ³ÝÝ»ñ ¨ óáõó³ëñ³ÑÝ»ñ</t>
  </si>
  <si>
    <t>2823</t>
  </si>
  <si>
    <t>Øß³ÏáõÛÃÇ ïÝ»ñ, ³ÏáõÙµÝ»ñ, Ï»ÝïñáÝÝ»ñ</t>
  </si>
  <si>
    <t>2824</t>
  </si>
  <si>
    <t>²ÛÉ Ùß³ÏáõÃ³ÛÇÝ Ï³½Ù³Ï»ñåáõÃÛáõÝÝ»ñ</t>
  </si>
  <si>
    <t>2825</t>
  </si>
  <si>
    <t>²ñí»ëï</t>
  </si>
  <si>
    <t>2827</t>
  </si>
  <si>
    <t>Ðáõß³ñÓ³ÝÝ»ñÇ ¨ Ùß³ÏáõÃ³ÛÇÝ ³ñÅ»ùÝ»ñÇ í»ñ³Ï³Ý·ÝáõÙ ¨ å³Ñå³ÝáõÙ</t>
  </si>
  <si>
    <t>2840</t>
  </si>
  <si>
    <t>ÎñáÝ³Ï³Ý ¨ Ñ³ë³ñ³Ï³Ï³Ý  ³ÛÉ Í³é³ÛáõÃÛáõÝÝ»ñ</t>
  </si>
  <si>
    <t>2841</t>
  </si>
  <si>
    <t>ºñÇï³ë³ñ¹³Ï³Ý Íñ³·ñ»ñ</t>
  </si>
  <si>
    <t>2843</t>
  </si>
  <si>
    <t>ÎñáÝ³Ï³Ý ¨ Ñ³ë³ñ³Ï³Ï³Ý ³ÛÉ Í³é³ÛáõÃÛáõÝÝ»ñ</t>
  </si>
  <si>
    <t>2900</t>
  </si>
  <si>
    <t>09</t>
  </si>
  <si>
    <t>ÎðÂàôÂÚàôÜ</t>
  </si>
  <si>
    <t>2910</t>
  </si>
  <si>
    <t>Ü³Ë³¹åñáó³Ï³Ý ¨ ï³ññ³Ï³Ý ÁÝ¹Ñ³Ýáõñ ÏñÃáõÃÛáõÝ</t>
  </si>
  <si>
    <t>2911</t>
  </si>
  <si>
    <t>Ü³Ë³¹åñáó³Ï³Ý ÏñÃáõÃÛáõÝ</t>
  </si>
  <si>
    <t>2912</t>
  </si>
  <si>
    <t>î³ññ³Ï³Ý ÁÝ¹Ñ³Ýáõñ ÏñÃáõÃÛáõÝ</t>
  </si>
  <si>
    <t>2920</t>
  </si>
  <si>
    <t>ØÇçÝ³Ï³ñ· ÁÝ¹Ñ³Ýáõñ ÏñÃáõÃÛáõÝ</t>
  </si>
  <si>
    <t>2921</t>
  </si>
  <si>
    <t>ÐÇÙÝ³Ï³Ý ÁÝ¹Ñ³Ýáõñ ÏñÃáõÃÛáõÝ</t>
  </si>
  <si>
    <t>2922</t>
  </si>
  <si>
    <t>ØÇçÝ³Ï³ñ· (ÉñÇí)  ÁÝ¹Ñ³Ýáõñ ÏñÃáõÃÛáõÝ</t>
  </si>
  <si>
    <t>2950</t>
  </si>
  <si>
    <t>Àëï Ù³Ï³ñ¹³ÏÝ»ñÇ ã¹³ë³Ï³ñ·íáÕ ÏñÃáõÃÛáõÝ</t>
  </si>
  <si>
    <t>2951</t>
  </si>
  <si>
    <t>²ñï³¹åñáó³Ï³Ý ¹³ëïÇ³ñ³ÏáõÃÛáõÝ</t>
  </si>
  <si>
    <t>2960</t>
  </si>
  <si>
    <t>ÎñÃáõÃÛ³ÝÁ ïñ³Ù³¹ñíáÕ ûÅ³Ý¹³Ï Í³é³ÛáõÃÛáõÝÝ»ñ</t>
  </si>
  <si>
    <t>2961</t>
  </si>
  <si>
    <t>3000</t>
  </si>
  <si>
    <t>10</t>
  </si>
  <si>
    <t>êàòÆ²È²Î²Ü ä²Þîä²ÜàôÂÚàôÜ</t>
  </si>
  <si>
    <t>3030</t>
  </si>
  <si>
    <t>Ð³ñ³½³ïÇÝ Ïáñóñ³Í ³ÝÓÇÝù</t>
  </si>
  <si>
    <t>3031</t>
  </si>
  <si>
    <t>3040</t>
  </si>
  <si>
    <t>ÀÝï³ÝÇùÇ ³Ý¹³ÙÝ»ñ ¨ ½³í³ÏÝ»ñ</t>
  </si>
  <si>
    <t>3041</t>
  </si>
  <si>
    <t>3070</t>
  </si>
  <si>
    <t>êáóÇ³É³Ï³Ý Ñ³ïáõÏ ³ñïáÝáõÃÛáõÝÝ»ñ (³ÛÉ ¹³ë»ñÇÝ ãå³ïÏ³ÝáÕ)</t>
  </si>
  <si>
    <t>3071</t>
  </si>
  <si>
    <t>3090</t>
  </si>
  <si>
    <t>êáóÇ³É³Ï³Ý å³ßïå³ÝáõÃÛáõÝ (³ÛÉ ¹³ë»ñÇÝ ãå³ïÏ³ÝáÕ)</t>
  </si>
  <si>
    <t>3092</t>
  </si>
  <si>
    <t>êáóÇ³É³Ï³Ý å³ßïå³ÝáõÃÛ³ÝÁ ïñ³Ù³¹ñíáÕ ûÅ³Ý¹³Ï Í³é³ÛáõÃÛáõÝÝ»ñ (³ÛÉ ¹³ë»ñÇÝ ãå³ïÏ³ÝáÕ)</t>
  </si>
  <si>
    <t>3100</t>
  </si>
  <si>
    <t>11</t>
  </si>
  <si>
    <t>ÐÆØÜ²Î²Ü ´²ÄÆÜÜºðÆÜ â¸²êìàÔ ä²Ðàôêî²ÚÆÜ üàÜ¸ºð</t>
  </si>
  <si>
    <t>3110</t>
  </si>
  <si>
    <t>ÐÐ Ï³é³í³ñáõÃÛ³Ý ¨ Ñ³Ù³ÛÝùÝ»ñÇ å³Ñáõëï³ÛÇÝ ýáÝ¹</t>
  </si>
  <si>
    <t>3112</t>
  </si>
  <si>
    <t>ÐÐ Ñ³Ù³ÛÝùÝ»ñÇ å³Ñáõëï³ÛÇÝ ýáÝ¹</t>
  </si>
  <si>
    <t>´Ûáõç»ï³ÛÇÝ Í³Ëë»ñÇ ïÝï»ë³·Çï³Ï³Ý ¹³ë³Ï³ñ·Ù³Ý Ñá¹í³ÍÝ»ñÇ ³Ýí³ÝáõÙÝ»ñÁ</t>
  </si>
  <si>
    <t>NN</t>
  </si>
  <si>
    <t>4000</t>
  </si>
  <si>
    <t>4050</t>
  </si>
  <si>
    <t>². ÀÜÂ²òÆÎ Ì²Êêºð</t>
  </si>
  <si>
    <t>x</t>
  </si>
  <si>
    <t>4100</t>
  </si>
  <si>
    <t>1.1 ²ÞÊ²î²ÜøÆ ì²ðÒ²îðàôÂÚàôÜ</t>
  </si>
  <si>
    <t>4110</t>
  </si>
  <si>
    <t>¸ð²Øàì ìÖ²ðìàÔ ²ÞÊ²î²ì²ðÒºð ºì Ð²ìºÈ²ìÖ²ðÜºð</t>
  </si>
  <si>
    <t>4111</t>
  </si>
  <si>
    <t>- ²ßË³ïáÕÝ»ñÇ ³ßË³ï³í³ñÓ»ñ ¨ Ñ³í»É³í×³ñÝ»ñ</t>
  </si>
  <si>
    <t>4112</t>
  </si>
  <si>
    <t>- ä³ñ·¨³ïñáõÙÝ»ñ, ¹ñ³Ù³Ï³Ý Ëñ³ËáõëáõÙÝ»ñ ¨ Ñ³ïáõÏ í×³ñÝ»ñ</t>
  </si>
  <si>
    <t>4200</t>
  </si>
  <si>
    <t>1.2 Ì²è²ÚàôÂÚàôÜÜºðÆ  ºì   ²äð²ÜøÜºðÆ  Òºèø´ºðàôØ</t>
  </si>
  <si>
    <t>4210</t>
  </si>
  <si>
    <t>Þ²ðàôÜ²Î²Î²Ü Ì²Êêºð</t>
  </si>
  <si>
    <t>4212</t>
  </si>
  <si>
    <t>- ¾Ý»ñ·»ïÇÏ Í³é³ÛáõÃÛáõÝÝ»ñ</t>
  </si>
  <si>
    <t>4213</t>
  </si>
  <si>
    <t>- ÎáÙáõÝ³É Í³é³ÛáõÃÛáõÝÝ»ñ</t>
  </si>
  <si>
    <t>4214</t>
  </si>
  <si>
    <t>- Î³åÇ Í³é³ÛáõÃÛáõÝÝ»ñ</t>
  </si>
  <si>
    <t>4215</t>
  </si>
  <si>
    <t>- ²å³Ñáí³·ñ³Ï³Ý Í³Ëë»ñ</t>
  </si>
  <si>
    <t>4216</t>
  </si>
  <si>
    <t>- ¶áõÛùÇ ¨ ë³ñù³íáñáõÙÝ»ñÇ í³ñÓ³Ï³ÉáõÃÛáõÝ</t>
  </si>
  <si>
    <t>4220</t>
  </si>
  <si>
    <t>¶àðÌàôÔàôØÜºðÆ ºì Þðæ²¶²ÚàôÂÚàôÜÜºðÆ Ì²Êêºð</t>
  </si>
  <si>
    <t>4221</t>
  </si>
  <si>
    <t>- Ü»ñùÇÝ ·áñÍáõÕáõÙÝ»ñ</t>
  </si>
  <si>
    <t>4222</t>
  </si>
  <si>
    <t>- ²ñï³ë³ÑÙ³ÝÛ³Ý ·áñÍáõÕáõÙÝ»ñÇ ·Íáí Í³Ëë»ñ</t>
  </si>
  <si>
    <t>4230</t>
  </si>
  <si>
    <t>ä²ÚØ²Ü²¶ð²ÚÆÜ ²ÚÈ Ì²è²ÚàôÂÚàôÜÜºðÆ Òºèø ´ºðàôØ</t>
  </si>
  <si>
    <t>4231</t>
  </si>
  <si>
    <t>- ì³ñã³Ï³Ý Í³é³ÛáõÃÛáõÝÝ»ñ</t>
  </si>
  <si>
    <t>4232</t>
  </si>
  <si>
    <t>- Ð³Ù³Ï³ñ·ã³ÛÇÝ Í³é³ÛáõÃÛáõÝÝ»ñ</t>
  </si>
  <si>
    <t>4233</t>
  </si>
  <si>
    <t>- ²ßË³ï³Ï³½ÙÇ Ù³ëÝ³·Çï³Ï³Ý ½³ñ·³óÙ³Ý Í³é³ÛáõÃÛáõÝÝ»ñ</t>
  </si>
  <si>
    <t>4234</t>
  </si>
  <si>
    <t>- î»Õ»Ï³ïí³Ï³Ý Í³é³ÛáõÃÛáõÝÝ»ñ</t>
  </si>
  <si>
    <t>4235</t>
  </si>
  <si>
    <t>- Î³é³í³ñã³Ï³Ý Í³é³ÛáõÃÛáõÝÝ»ñ</t>
  </si>
  <si>
    <t>4237</t>
  </si>
  <si>
    <t>- Ü»ñÏ³Û³óáõóã³Ï³Ý Í³Ëë»ñ</t>
  </si>
  <si>
    <t>4238</t>
  </si>
  <si>
    <t>- ÀÝ¹Ñ³Ýáõñ µÝáõÛÃÇ ³ÛÉ Í³é³ÛáõÃÛáõÝÝ»ñ</t>
  </si>
  <si>
    <t>4239</t>
  </si>
  <si>
    <t>4240</t>
  </si>
  <si>
    <t>²ÚÈ Ø²êÜ²¶Æî²Î²Ü Ì²è²ÚàôÂÚàôÜÜºðÆ Òºèø ´ºðàôØ</t>
  </si>
  <si>
    <t>4241</t>
  </si>
  <si>
    <t>- Ø³ëÝ³·Çï³Ï³Ý Í³é³ÛáõÃÛáõÝÝ»ñ</t>
  </si>
  <si>
    <t>4250</t>
  </si>
  <si>
    <t>ÀÜÂ²òÆÎ Üàðà¶àôØ ºì ä²Ðä²ÜàôØ (Í³é³ÛáõÃÛáõÝÝ»ñ ¨ ÝÛáõÃ»ñ)</t>
  </si>
  <si>
    <t>4251</t>
  </si>
  <si>
    <t>- Þ»Ýù»ñÇ ¨ Ï³éáõÛóÝ»ñÇ ÁÝÃ³óÇÏ Ýáñá·áõÙ ¨ å³Ñå³ÝáõÙ</t>
  </si>
  <si>
    <t>4252</t>
  </si>
  <si>
    <t>- Ø»ù»Ý³Ý»ñÇ ¨ ë³ñù³íáñáõÙÝ»ñÇ ÁÝÃ³óÇÏ Ýáñá·áõÙ ¨ å³Ñå³ÝáõÙ</t>
  </si>
  <si>
    <t>4260</t>
  </si>
  <si>
    <t>ÜÚàôÂºð</t>
  </si>
  <si>
    <t>4261</t>
  </si>
  <si>
    <t>- ¶ñ³ë»ÝÛ³Ï³ÛÇÝ ÝÛáõÃ»ñ ¨ Ñ³·áõëï</t>
  </si>
  <si>
    <t>4264</t>
  </si>
  <si>
    <t>- îñ³Ýëåáñï³ÛÇÝ ÝÛáõÃ»ñ</t>
  </si>
  <si>
    <t>4267</t>
  </si>
  <si>
    <t>- Î»Ýó³Õ³ÛÇÝ ¨ Ñ³Ýñ³ÛÇÝ ëÝÝ¹Ç ÝÛáõÃ»ñ</t>
  </si>
  <si>
    <t>4268</t>
  </si>
  <si>
    <t>- Ð³ïáõÏ Ýå³ï³Ï³ÛÇÝ ³ÛÉ ÝÛáõÃ»ñ</t>
  </si>
  <si>
    <t>4269</t>
  </si>
  <si>
    <t>4300</t>
  </si>
  <si>
    <t>1.3 îàÎàê²ìÖ²ðÜºð</t>
  </si>
  <si>
    <t>4320</t>
  </si>
  <si>
    <t>²ðî²øÆÜ îàÎàê²ìÖ²ðÜºð</t>
  </si>
  <si>
    <t>4322</t>
  </si>
  <si>
    <t>- ²ñï³ùÇÝ í³ñÏ»ñÇ ·Íáí ïáÏáë³í×³ñÝ»ñ</t>
  </si>
  <si>
    <t>4422</t>
  </si>
  <si>
    <t>4400</t>
  </si>
  <si>
    <t>1.4 êàô´êÆ¸Æ²Üºð</t>
  </si>
  <si>
    <t>4410</t>
  </si>
  <si>
    <t>êàô´êÆ¸Æ²Üºð äºî²Î²Ü (Ð²Ø²ÚÜø²ÚÆÜ) Î²¼Ø²ÎºðäàôÂÚàôÜÜºðÆÜ</t>
  </si>
  <si>
    <t>4411</t>
  </si>
  <si>
    <t>- êáõµëÇ¹Ç³Ý»ñ áã ýÇÝ³Ýë³Ï³Ý å»ï³Ï³Ý (Ñ³Ù³ÛÝù³ÛÇÝ) Ï³½Ù³Ï»ñåáõÃÛáõÝÝ»ñÇÝ</t>
  </si>
  <si>
    <t>4511</t>
  </si>
  <si>
    <t>4420</t>
  </si>
  <si>
    <t>êàô´êÆ¸Æ²Üºð àâ äºî²Î²Ü (àâ Ð²Ø²ÚÜø²ÚÆÜ) Î²¼Ø²ÎºðäàôÂÚàôÜÜºðÆÜ</t>
  </si>
  <si>
    <t>4421</t>
  </si>
  <si>
    <t>- êáõµëÇ¹Ç³Ý»ñ áã  å»ï³Ï³Ý (áã Ñ³Ù³ÛÝù³ÛÇÝ) áã ýÇÝ³Ýë³Ï³Ý Ï³½Ù³Ï»ñåáõÃÛáõÝÝ»ñÇÝ</t>
  </si>
  <si>
    <t>4521</t>
  </si>
  <si>
    <t>4500</t>
  </si>
  <si>
    <t>1.5 ¸ð²Ø²ÞÜàðÐÜºð</t>
  </si>
  <si>
    <t>4530</t>
  </si>
  <si>
    <t>ÀÜÂ²òÆÎ ¸ð²Ø²ÞÜàðÐÜºð äºî²Î²Ü Ð²îì²ÌÆ ²ÚÈ Ø²Î²ð¸²ÎÜºðÆÜ</t>
  </si>
  <si>
    <t>4531</t>
  </si>
  <si>
    <t>- ÀÝÃ³óÇÏ ¹ñ³Ù³ßÝáñÑÝ»ñ å»ï³Ï³Ý ¨ Ñ³Ù³ÛÝùÝ»ñÇ  áã ³é¨ïñ³ÛÇÝ Ï³½Ù³Ï»ñåáõÃÛáõÝÝ»ñÇÝ</t>
  </si>
  <si>
    <t>4637</t>
  </si>
  <si>
    <t>4532</t>
  </si>
  <si>
    <t>- ÀÝÃ³óÇÏ ¹ñ³Ù³ßÝáñÑÝ»ñ å»ï³Ï³Ý ¨ Ñ³Ù³ÛÝù³ÛÇÝ  ³é¨ïñ³ÛÇÝ Ï³½Ù³Ï»ñåáõÃÛáõÝÝ»ñÇÝ</t>
  </si>
  <si>
    <t>4638</t>
  </si>
  <si>
    <t>4533</t>
  </si>
  <si>
    <t>- ²ÛÉ ÁÝÃ³óÇÏ ¹ñ³Ù³ßÝáñÑÝ»ñ</t>
  </si>
  <si>
    <t>4639</t>
  </si>
  <si>
    <t>4540</t>
  </si>
  <si>
    <t>Î²äÆî²È ¸ð²Ø²ÞÜàðÐÜºð äºî²Î²Ü Ð²îì²ÌÆ ²ÚÈ Ø²Î²ð¸²ÎÜºðÆÜ</t>
  </si>
  <si>
    <t>4543</t>
  </si>
  <si>
    <t>- ²ÛÉ Ï³åÇï³É ¹ñ³Ù³ßÝáñÑÝ»ñ</t>
  </si>
  <si>
    <t>4657</t>
  </si>
  <si>
    <t>4600</t>
  </si>
  <si>
    <t>1.6 êàòÆ²È²Î²Ü  Üä²êîÜºð ºì ÎºÜê²ÂàÞ²ÎÜºð</t>
  </si>
  <si>
    <t>4630</t>
  </si>
  <si>
    <t>êàòÆ²È²Î²Ü ú¶ÜàôÂÚ²Ü ¸ð²Ø²Î²Ü ²ðî²Ð²ÚîàôÂÚ²Ø´  Üä²êîÜºð  ´ÚàôæºÆò)</t>
  </si>
  <si>
    <t>4633</t>
  </si>
  <si>
    <t>- ´Ý³Ï³ñ³Ý³ÛÇÝ Ýå³ëïÝ»ñ µÛáõç»Çó</t>
  </si>
  <si>
    <t>4728</t>
  </si>
  <si>
    <t>4634</t>
  </si>
  <si>
    <t>- ²ÛÉ Ýå³ëïÝ»ñ µÛáõç»Çó</t>
  </si>
  <si>
    <t>4729</t>
  </si>
  <si>
    <t>4700</t>
  </si>
  <si>
    <t>1.7 ²ÚÈ  Ì²Êêºð</t>
  </si>
  <si>
    <t>4710</t>
  </si>
  <si>
    <t>ÜìÆð²îìàôÂÚàôÜÜºð àâ Î²è²ì²ð²Î²Ü  (Ð²ê²ð²Î²Î²Ü) Î²¼Ø²ÎºðäàôÂÚàôÜÜºðÆÜ</t>
  </si>
  <si>
    <t>4712</t>
  </si>
  <si>
    <t>- ÜíÇñ³ïíáõÃÛáõÝÝ»ñ ³ÛÉ ß³ÑáõÛÃ ãÑ»ï³åÝ¹áÕ Ï³½Ù³Ï»ñåáõÃÛáõÝÝ»ñÇÝ</t>
  </si>
  <si>
    <t>4819</t>
  </si>
  <si>
    <t>4720</t>
  </si>
  <si>
    <t>Ð²ðÎºð, ä²ðî²¸Æð ìÖ²ðÜºð ºì îàôÚÄºð, àðàÜø Î²è²ì²ðØ²Ü î²ð´ºð Ø²Î²ð¸²ÎÜºðÆ ÎàÔØÆò ÎÆð²èìàôØ ºÜ ØÆØÚ²Üò ÜÎ²îØ²Ø´</t>
  </si>
  <si>
    <t>4723</t>
  </si>
  <si>
    <t>- ä³ñï³¹Çñ í×³ñÝ»ñ</t>
  </si>
  <si>
    <t>4823</t>
  </si>
  <si>
    <t>4760</t>
  </si>
  <si>
    <t>²ÚÈ Ì²Êêºð</t>
  </si>
  <si>
    <t>4761</t>
  </si>
  <si>
    <t>- ²ÛÉ Í³Ëë»ñ</t>
  </si>
  <si>
    <t>4861</t>
  </si>
  <si>
    <t>4770</t>
  </si>
  <si>
    <t>ä²Ðàôêî²ÚÆÜ ØÆæàòÜºð</t>
  </si>
  <si>
    <t>4771</t>
  </si>
  <si>
    <t>- ä³Ñáõëï³ÛÇÝ ÙÇçáóÝ»ñ</t>
  </si>
  <si>
    <t>4891</t>
  </si>
  <si>
    <t>4772</t>
  </si>
  <si>
    <t>³Û¹ ÃíáõÙ` Ñ³Ù³ÛÝùÇ µÛáõç»Ç í³ñã³Ï³Ý Ù³ëÇ å³Ñáõëï³ÛÇÝ ýáÝ¹Çó ýáÝ¹³ÛÇÝ Ù³ë Ï³ï³ñíáÕ Ñ³ïÏ³óáõÙÝ»ñÁ</t>
  </si>
  <si>
    <t>5000</t>
  </si>
  <si>
    <t>´. àâ üÆÜ²Üê²Î²Ü ²ÎîÆìÜºðÆ ¶Ìàì Ì²Êêºð</t>
  </si>
  <si>
    <t>5100</t>
  </si>
  <si>
    <t>1.1 ÐÆØÜ²Î²Ü ØÆæàòÜºð</t>
  </si>
  <si>
    <t>5110</t>
  </si>
  <si>
    <t>ÞºÜøºð ºì ÞÆÜàôÂÚàôÜÜºð</t>
  </si>
  <si>
    <t>5112</t>
  </si>
  <si>
    <t>- Þ»Ýù»ñÇ ¨ ßÇÝáõÃÛáõÝÝ»ñÇ Ï³éáõóáõÙ</t>
  </si>
  <si>
    <t>5113</t>
  </si>
  <si>
    <t>- Þ»Ýù»ñÇ ¨ ßÇÝáõÃÛáõÝÝ»ñÇ Ï³åÇï³É í»ñ³Ýáñá·áõÙ</t>
  </si>
  <si>
    <t>5120</t>
  </si>
  <si>
    <t>ØºøºÜ²Üºð  ºì  ê²ðø²ìàðàôØÜºð</t>
  </si>
  <si>
    <t>5121</t>
  </si>
  <si>
    <t>- îñ³Ýëåáñï³ÛÇÝ ë³ñù³íáñáõÙÝ»ñ</t>
  </si>
  <si>
    <t>5122</t>
  </si>
  <si>
    <t>- ì³ñã³Ï³Ý ë³ñù³íáñáõÙÝ»ñ</t>
  </si>
  <si>
    <t>5123</t>
  </si>
  <si>
    <t>- ²ÛÉ Ù»ù»Ý³Ý»ñ ¨ ë³ñù³íáñáõÙÝ»ñ</t>
  </si>
  <si>
    <t>5129</t>
  </si>
  <si>
    <t>5130</t>
  </si>
  <si>
    <t>²ÚÈ ÐÆØÜ²Î²Ü ØÆæàòÜºð</t>
  </si>
  <si>
    <t>5132</t>
  </si>
  <si>
    <t>- àã ÝÛáõÃ³Ï³Ý ÑÇÙÝ³Ï³Ý ÙÇçáóÝ»ñ</t>
  </si>
  <si>
    <t>5134</t>
  </si>
  <si>
    <t>- Ü³Ë³·Í³Ñ»ï³½áï³Ï³Ý Í³Ëë»ñ</t>
  </si>
  <si>
    <t>6000</t>
  </si>
  <si>
    <t>¶. àâ üÆÜ²Üê²Î²Ü ²ÎîÆìÜºðÆ Æð²òàôØÆò Øàôîøºð</t>
  </si>
  <si>
    <t>6100</t>
  </si>
  <si>
    <t>ÐÆØÜ²Î²Ü ØÆæàòÜºðÆ Æð²òàôØÆò Øàôîøºð</t>
  </si>
  <si>
    <t>6110</t>
  </si>
  <si>
    <t>²ÜÞ²ðÄ ¶àôÚøÆ Æð²òàôØÆò Øàôîøºð</t>
  </si>
  <si>
    <t>8111</t>
  </si>
  <si>
    <t>6120</t>
  </si>
  <si>
    <t>Þ²ðÄ²Î²Ü ¶àôÚøÆ Æð²òàôØÆò Øàôîøºð</t>
  </si>
  <si>
    <t>8121</t>
  </si>
  <si>
    <t>6400</t>
  </si>
  <si>
    <t>â²ðî²¸ðì²Ì ²ÎîÆìÜºðÆ Æð²òàôØÆò Øàôîøºð</t>
  </si>
  <si>
    <t>6410</t>
  </si>
  <si>
    <t>ÐàÔÆ Æð²òàôØÆò Øàôîøºð</t>
  </si>
  <si>
    <t>8411</t>
  </si>
  <si>
    <t>8000</t>
  </si>
  <si>
    <t>ÀÜ¸²ØºÜÀ Ð²ìºÈàôð¸À Î²Ø ¸ºüÆòÆîÀ (ä²Î²êàôð¸À)</t>
  </si>
  <si>
    <t>8010</t>
  </si>
  <si>
    <t>ÀÜ¸²ØºÜÀ`</t>
  </si>
  <si>
    <t>8100</t>
  </si>
  <si>
    <t>². ÜºðøÆÜ ²Ô´ÚàôðÜºð</t>
  </si>
  <si>
    <t>8110</t>
  </si>
  <si>
    <t>1. öàÊ²èàô ØÆæàòÜºð</t>
  </si>
  <si>
    <t>8120</t>
  </si>
  <si>
    <t>1.2. ì³ñÏ»ñ ¨ ÷áË³ïíáõÃÛáõÝÝ»ñ (ëï³óáõÙ ¨ Ù³ñáõÙ)</t>
  </si>
  <si>
    <t>1.2.1. ì³ñÏ»ñ</t>
  </si>
  <si>
    <t>8122</t>
  </si>
  <si>
    <t xml:space="preserve">  - í³ñÏ»ñÇ ëï³óáõÙ</t>
  </si>
  <si>
    <t>9112</t>
  </si>
  <si>
    <t>8124</t>
  </si>
  <si>
    <t>³ÛÉ ³ÕµÛáõñÝ»ñÇó</t>
  </si>
  <si>
    <t>8160</t>
  </si>
  <si>
    <t>2. üÆÜ²Üê²Î²Ü ²ÎîÆìÜºð</t>
  </si>
  <si>
    <t>8161</t>
  </si>
  <si>
    <t>2.1. ´³ÅÝ»ïáÙë»ñ ¨ Ï³åÇï³ÉáõÙ ³ÛÉ Ù³ëÝ³ÏóáõÃÛáõÝ</t>
  </si>
  <si>
    <t>8164</t>
  </si>
  <si>
    <t>´³ÅÝ»ïáÙë»ñÇ »í Ï³åÇï³ÉáõÙ ³ÛÉ Ù³ëÝ³ÏóáõÃÛ³Ý Ó»éù µ»ñáõÙ</t>
  </si>
  <si>
    <t>6213</t>
  </si>
  <si>
    <t>8190</t>
  </si>
  <si>
    <t>2.3. Ð³Ù³ÛÝùÇ µÛáõç»Ç ÙÇçáóÝ»ñÇ ï³ñ»ëÏ½µÇ ³½³ï  ÙÝ³óáñ¹Á`</t>
  </si>
  <si>
    <t>8191</t>
  </si>
  <si>
    <t>2.3.1. Ð³Ù³ÛÝùÇ µÛáõç»Ç í³ñã³Ï³Ý Ù³ëÇ ÙÇçáóÝ»ñÇ ï³ñ»ëÏ½µÇ ³½³ï ÙÝ³óáñ¹</t>
  </si>
  <si>
    <t>9320</t>
  </si>
  <si>
    <t>8192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</si>
  <si>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</t>
  </si>
  <si>
    <t>8193</t>
  </si>
  <si>
    <t>- »ÝÃ³Ï³ ¿ áõÕÕÙ³Ý Ñ³Ù³ÛÝùÇ µÛáõç»Ç ýáÝ¹³ÛÇÝ  Ù³ë</t>
  </si>
  <si>
    <t>8194</t>
  </si>
  <si>
    <t xml:space="preserve"> 2.3.2. Ð³Ù³ÛÝùÇ µÛáõç»Ç ýáÝ¹³ÛÇÝ Ù³ëÇ ÙÇçáóÝ»ñÇ ï³ñ»ëÏ½µÇ ÙÝ³óáñ¹</t>
  </si>
  <si>
    <t>9330</t>
  </si>
  <si>
    <t>8195</t>
  </si>
  <si>
    <t>- ³é³Ýó í³ñã³Ï³Ý Ù³ëÇ ÙÇçáóÝ»ñÇ ï³ñ»ëÏ½µÇ ³½³ï ÙÝ³óáñ¹Çó ýáÝ¹³ÛÇÝ  Ù³ë Ùáõïù³·ñÙ³Ý »ÝÃ³Ï³ ·áõÙ³ñÇ</t>
  </si>
  <si>
    <t>8196</t>
  </si>
  <si>
    <t>- í³ñã³Ï³Ý Ù³ëÇ ÙÇçáóÝ»ñÇ ï³ñ»ëÏ½µÇ ³½³ï ÙÝ³óáñ¹Çó ýáÝ¹³ÛÇÝ  Ù³ë Ùáõïù³·ñÙ³Ý »ÝÃ³Ï³ ·áõÙ³ñÁ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</si>
  <si>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</si>
  <si>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1. ¸ÇÙáõÙÝ»ñ, Ñ³Ûó³¹ÇÙáõÙÝ»ñ, ¹³ï³ñ³ÝÇ áñáßáõÙÝ»ñÇ ¨ í×ÇéÝ»ñÇ ¹»Ù í»ñ³ùÝÝÇã ¨ í×é³µ»Ï µáÕáùÝ»ñ Ý»ñÏ³Û³óÝ»ÉÇë ë³ÑÙ³Ýí³Í í×³ñáõÙÝ»ñ</t>
  </si>
  <si>
    <t>2. ¶áõÛùÇ ÝÏ³ïÙ³Ùµ Çñ³íáõÝùÝ»ñÇ ·ñ³ÝóÙ³Ý, ·Ý³Ñ³ïÙ³Ý  ¨ ï»Õ»Ï³ïíáõÃÛ³Ý ïñ³Ù³¹ñÙ³Ý Ñ»ï Ï³åí³Í í×³ñáõÙÝ»ñ</t>
  </si>
  <si>
    <t>1. àéá·Ù³Ý ó³ÝóÇ Ï³éáõóáõÙ ¨ í»ñ³Ýáñá·áõÙ</t>
  </si>
  <si>
    <t>1. êåáñï³ÛÇÝ ÙÇçáó³éáõÙÝ»ñÇ Ï³½Ù³Ï»ñåáõÙ</t>
  </si>
  <si>
    <t>2. Ð³Ý·ëïÇ ·áïÇÝ»ñÇ ¨ ½µáë³Û·ÇÝ»ñÇ Ï³éáõóáõÙ áõ å³Ñå³ÝáõÙ</t>
  </si>
  <si>
    <t>-Ð³ïÏ³óáõÙ å³Ñõëï³ÛÇÝ ýáÝ¹Çó ýáÝ¹³ÛÇÝ µÛáõç»</t>
  </si>
  <si>
    <t>2021 փաստացի</t>
  </si>
  <si>
    <t xml:space="preserve">2022 հաստատված </t>
  </si>
  <si>
    <t xml:space="preserve"> 2023թ կանխատեսված և 2022թ. հաստատված բյուջեի տարբերություն</t>
  </si>
  <si>
    <t>Ծանոթություն</t>
  </si>
  <si>
    <t>2023թ կանխատեսված և 2022թ. հաստատված բյուջեի տարբերության վերաբերյալ հիմնավորումներ</t>
  </si>
  <si>
    <t>2.Աբովյանի N 2 մանկապարտեզ ՀՈԱԿ </t>
  </si>
  <si>
    <t>3.Աբովյանի N 3 միջհամայնքային  մանկապարտեզ ՀՈԱԿ </t>
  </si>
  <si>
    <t>4.Աբովյանի N 4 մանկապարտեզ ՀՈԱԿ </t>
  </si>
  <si>
    <t>5.Աբովյանի N 5 մանկապարտեզ ՀՈԱԿ </t>
  </si>
  <si>
    <t>6.Աբովյանի N 6 մանկապարտեզ ՀՈԱԿ </t>
  </si>
  <si>
    <t>7.Աբովյանի N 7 մանկապարտեզ ՀՈԱԿ </t>
  </si>
  <si>
    <t>8.Աբովյանի N 9 մանկապարտեզ ՀՈԱԿ </t>
  </si>
  <si>
    <t>9.Աբովյանի N 10 մանկապարտեզ ՀՈԱԿ </t>
  </si>
  <si>
    <t>10.Աբովյանի N 12 մանկապարտեզ ՀՈԱԿ </t>
  </si>
  <si>
    <t>1.Աբովյանի գեղարվեստի դպրոց ԱԿՈՒՀՀՈԱԿ</t>
  </si>
  <si>
    <t>2.Աբովյանի Զ. Սահակյանցի անվան երաժշտական դպրոց ԱԿՈՒՀՀՈԱԿ</t>
  </si>
  <si>
    <t>1.Աբովյանի համայնքային գրադարան ՄՀՀՈԱԿ</t>
  </si>
  <si>
    <t xml:space="preserve">3.Աբովյանի շախմատի դպրոց ՈՒՀՀՈԱԿ </t>
  </si>
  <si>
    <t>1.Առինջ համայնքային տնտեսություն» ՀՈԱԿ</t>
  </si>
  <si>
    <t> 1.Արամուսի մարզամշակութային կենտրոն հիմնարկ</t>
  </si>
  <si>
    <t>4.Գագիկ Ծառուկյանի անվան Աբովյանի սպորտի և մշակույթի համալիր կենտրոն ՀՈԱԿ</t>
  </si>
  <si>
    <t>11.Վերին Պտղնի համայնքի մսուր-մանկապարտեզ ՀՈԱԿ</t>
  </si>
  <si>
    <t>կենցաղային և հանրային սննդի ծառայություններ</t>
  </si>
  <si>
    <t>Այլ հարկեր</t>
  </si>
  <si>
    <t xml:space="preserve">Այլ հարկեր </t>
  </si>
  <si>
    <t>1.Աղբահանություն</t>
  </si>
  <si>
    <t xml:space="preserve">2133 </t>
  </si>
  <si>
    <t>Ընդհանուր բնույթի այլ ծառայություններ</t>
  </si>
  <si>
    <t xml:space="preserve">2842 </t>
  </si>
  <si>
    <t>8</t>
  </si>
  <si>
    <t>Քաղաքական կուսակցություններ, հասարակական կազմակերպություններ, արհմիություններ</t>
  </si>
  <si>
    <t>1.Աջակցություն հասարակական կազմակերպություններին</t>
  </si>
  <si>
    <t>1.Աուդիտ և այլ ծառայություններ</t>
  </si>
  <si>
    <t>- Գործառնական և բանկային ծառայությունների ծախսեր</t>
  </si>
  <si>
    <t>1. Փողոցների լուսավորում</t>
  </si>
  <si>
    <t xml:space="preserve">1. ²ëý³Éï-µ»ïáÝÛ³  Í³ÍÏÇ í»ñ³Ýáñá·áõÙ </t>
  </si>
  <si>
    <t xml:space="preserve">1.Աբովյանի համայնքապետարան </t>
  </si>
  <si>
    <t>2.Ավագանու ծախսերի փոխհատուցում</t>
  </si>
  <si>
    <t>- Այլ վարձատրություններ</t>
  </si>
  <si>
    <t>5.Աբովյանի երեխաների աջակցության կենտրոն</t>
  </si>
  <si>
    <t xml:space="preserve">2940 </t>
  </si>
  <si>
    <t>Բարձրագույն կրթություն, որից`</t>
  </si>
  <si>
    <t xml:space="preserve">2941 </t>
  </si>
  <si>
    <t>Բարձրագույն մասնագիտական կրթություն</t>
  </si>
  <si>
    <t>Այլ նպաստներ բյուջեից</t>
  </si>
  <si>
    <t>1.Աբովյանի քաղաքային տնտեսություն ՀՈԱԿ</t>
  </si>
  <si>
    <t xml:space="preserve">2432 </t>
  </si>
  <si>
    <t>Նավթամթերք և բնական գազ</t>
  </si>
  <si>
    <t>1. Գազատարների կառուցում</t>
  </si>
  <si>
    <t>12.Գեղաշենի  Հեքիաթ մանկապարտեզ ՀՈԱԿ</t>
  </si>
  <si>
    <t>2.Կամարիսի մշակույթի տուն ՀՈԱԿ</t>
  </si>
  <si>
    <t>3.Գեղաշենի մշակույթի տուն ՀՈԱԿ</t>
  </si>
  <si>
    <t>3.Գեոդեզիա քարտեզագրում</t>
  </si>
  <si>
    <t>գեոդեզիական քարտեզագրական ծախսեր</t>
  </si>
  <si>
    <t>գործառնական և բանկային ծառայությունների ծախսեր</t>
  </si>
  <si>
    <t>13.Կամարիսի Կակաչ մանկապարտեզ ՆՀ ՀՈԱԿ</t>
  </si>
  <si>
    <t>2.Համակարգչային ծառայություններ</t>
  </si>
  <si>
    <t>Համակարգչային ծառայություններ</t>
  </si>
  <si>
    <t xml:space="preserve">2830 </t>
  </si>
  <si>
    <t>Ռադիո և հեռուստահաղորդումների հեռարձակման և հրատարակչական ծառայություններ, որից`</t>
  </si>
  <si>
    <t xml:space="preserve">2831 </t>
  </si>
  <si>
    <t>Հեռուստառադիոհաղորդումներ</t>
  </si>
  <si>
    <t>1.Հեռուստահաղորդումներ</t>
  </si>
  <si>
    <t>տեղեկատվական ծառայություններ</t>
  </si>
  <si>
    <t xml:space="preserve">2730 </t>
  </si>
  <si>
    <t>Հիվանդանոցային ծառայություններ, որից`</t>
  </si>
  <si>
    <t xml:space="preserve">2731 </t>
  </si>
  <si>
    <t>Ընդհանուր բնույթի հիվանդանոցային ծառայություններ</t>
  </si>
  <si>
    <t>1.Հիվանդանոցային ծառայություններ</t>
  </si>
  <si>
    <t>14.Մայակովսկու Զեփյուռ  մանկապարտեզ ՀՈԱԿ</t>
  </si>
  <si>
    <t>4.ներկայացուցչական ծախսեր</t>
  </si>
  <si>
    <t xml:space="preserve">ներկայացուցչական ծախսեր </t>
  </si>
  <si>
    <t xml:space="preserve">1.Þñç³Ï³ ÙÇç³í³ÛñÇ å³ßïå³ÝáõÃÛáõÝ </t>
  </si>
  <si>
    <t>1. Պաշտպանություն</t>
  </si>
  <si>
    <t>- Բնական աղետներից առաջացած վնասվածքների կամ վնասների վերականգնում</t>
  </si>
  <si>
    <t>3.ø³Õ³ù³óÇ³Ï³Ý Ï³óáõÃÛ³Ý ³Ïï»ñÇ ·ñ³ÝóÙ³Ý Í³é³ÛáõÃÛ³Ý ·áñÍáõÝ»áõÃÛ³Ý Ï³½Ù³Ï»ñåáõÙ (å³ïíÇñ³Ïí³Í ÉÇ³½áñáõÃÛáõÝÝ»ñ)</t>
  </si>
  <si>
    <t>1. æñ³Ñ»é³óÙ³Ý համակարգի վերանորոգում</t>
  </si>
  <si>
    <t>նախագծահետազոտական ծախսեր</t>
  </si>
  <si>
    <t>1. Սոցիալական օգնություններ</t>
  </si>
  <si>
    <t>2.Վերելակների նորոգում</t>
  </si>
  <si>
    <t>3.Տանիքների նորոգում</t>
  </si>
  <si>
    <t>Տեղեկատվության ձեռքբերում</t>
  </si>
  <si>
    <t xml:space="preserve">2833 </t>
  </si>
  <si>
    <t>Տեղեկատվության ձեռք բերում</t>
  </si>
  <si>
    <t>5.Ցուցանակների պատրաստում տեղադրում</t>
  </si>
  <si>
    <t>6.Ընդհանուր բնույթի հանրային այլ ծառայություններ</t>
  </si>
  <si>
    <t>2.Փողոցների անվտանգության երթևեկության նշագծում</t>
  </si>
  <si>
    <t xml:space="preserve"> àã ýÇÝ³Ýë³Ï³Ý ³ÏïÇíÝ»ñÇ ûï³ñáõÙÇó Ùáõïù»ñ</t>
  </si>
  <si>
    <t xml:space="preserve">2840 </t>
  </si>
  <si>
    <t>Կրոնական և հասարակական այլ ծառայություններ, որից`</t>
  </si>
  <si>
    <t>4115</t>
  </si>
  <si>
    <t>- Գեոդեզիական քարտեզագրական ծախսեր</t>
  </si>
  <si>
    <t>ԲՆԱԿԱՆ ԱՂԵՏՆԵՐԻՑ ԿԱՄ ԱՅԼ ԲՆԱԿԱՆ ՊԱՏՃԱՌՆԵՐՈՎ ԱՌԱՋԱՑԱԾ ՎՆԱՍՆԵՐԻ ԿԱՄ ՎՆԱՍՎԱԾՔՆԵՐԻ ՎԵՐԱԿԱՆԳՆՈՒՄ (տող 4741 + տող 4742), որից`</t>
  </si>
  <si>
    <t>ԱՅԼ ՀԻՄՆԱԿԱՆ ՄԻՋՈՑՆԵՐԻ ԻՐԱՑՈՒՄԻՑ ՄՈՒՏՔԵՐ</t>
  </si>
  <si>
    <t>1. Ակտիվների ձեռք բերում,նախադպրոցական կրթություն</t>
  </si>
  <si>
    <t>6.Արտադպրոցական դաստիարակություն</t>
  </si>
  <si>
    <t>պետական բյուջեից տրամադրվող այլ դոտացիաներ,այդ թվում</t>
  </si>
  <si>
    <t>Համայնքի բյուջեի եկամուտները նվազեցնող ՝ՀՀ օրենքների կիրարկման արդյունքում համայնքի բյուջեի եկամուտների կորուստների պետության կողմից փոխհատուցվող գումարներ</t>
  </si>
  <si>
    <t>Համայնքի վարչական տարածքում գտնվող պետական սեփականություն համարվող հողերի վարձակալության վարձավճարներ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</si>
  <si>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այլ վճարներ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</si>
  <si>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</si>
  <si>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</si>
  <si>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03</t>
  </si>
  <si>
    <t>ՀԱՍԱՐԱԿԱԿԱՆ ԿԱՐԳ, ԱՆՎՏԱՆԳՈՒԹՅՈՒՆ ԵՎ ԴԱՏԱԿԱՆ ԳՈՐԾՈՒՆԵՈՒԹՅՈՒՆ</t>
  </si>
  <si>
    <t>Փրկարար ծառայություն, որից`</t>
  </si>
  <si>
    <t>Փրկարար ծառայություն</t>
  </si>
  <si>
    <t>Գյուղատնտեսություն</t>
  </si>
  <si>
    <t>Անտառային տնտեսություն</t>
  </si>
  <si>
    <t>Կենսաբազմազանության և բնության պաշտպանություն, որից`</t>
  </si>
  <si>
    <t>Կենսաբազմազանության և բնության պաշտպանություն</t>
  </si>
  <si>
    <t>Համայնքային զարգացում, որից`</t>
  </si>
  <si>
    <t>Համայնքային զարգացում</t>
  </si>
  <si>
    <t>Ջրամատակարարում, որից`</t>
  </si>
  <si>
    <t>Ջրամատակարարում</t>
  </si>
  <si>
    <t>Արտահիվանդանոցային ծառայություններ, որից`</t>
  </si>
  <si>
    <t>Ընդհանուր բնույթի բժշկական ծառայություններ</t>
  </si>
  <si>
    <t>Առողջապահություն (այլ դասերին չպատկանող)</t>
  </si>
  <si>
    <t>Նախնական մասնագիտական (արհեստագործական) և միջին մասնագիտական կրթություն, որից`</t>
  </si>
  <si>
    <t>Միջին մասնագիտական կրթություն</t>
  </si>
  <si>
    <t>Վերապատրաստման և ուսուցման նյութեր</t>
  </si>
  <si>
    <t>Գյուղատնտեսական ապրանքներ</t>
  </si>
  <si>
    <t>Առողջապահական և լաբորատոր նյութեր</t>
  </si>
  <si>
    <t>Սուբսիդիաներ ֆինանսական պետական կազմակերպություններին</t>
  </si>
  <si>
    <t>Կապիտալ դրամաշնորհ պետական և համայնքների ոչ առևտրային կազմակերպություններին</t>
  </si>
  <si>
    <t>Հուղարկավորության նպաստներ բյուջեից</t>
  </si>
  <si>
    <t>կրթական մշակութային և սպորտային նպաստներ բյուջեից</t>
  </si>
  <si>
    <t>Շենք շինությունների ձեռք բերում</t>
  </si>
  <si>
    <t>աճեցվող ակտիվներ</t>
  </si>
  <si>
    <t>Նյութեր և պարագաներ</t>
  </si>
  <si>
    <t>1,2Պաշարներ</t>
  </si>
  <si>
    <t>2.6Համայնքի բյուջեի հաշվում միջոցների մնացորդները հաշվետու ժամանակահատվածում</t>
  </si>
  <si>
    <t>պարտադիր վճարներ</t>
  </si>
  <si>
    <t>Շենքերի և շինությունների  կապիտալ վերանորոգում</t>
  </si>
  <si>
    <t>Գույքի և սարքավորումների վարձակալություն</t>
  </si>
  <si>
    <t>Այլ կապիտալ դրամաշնորհ</t>
  </si>
  <si>
    <t>4,Ընդհանուր բնույթի այլ ծառայություններ</t>
  </si>
  <si>
    <t>2.Գազատարներ</t>
  </si>
  <si>
    <t>4.Մշակույթի տների պահպանում,հիմնանորոգում</t>
  </si>
  <si>
    <t>1. Øß³ÏáõÃ³ÛÇÝ ÙÇçáó³éáõÙÝ»ñ/Մշակույթի տների պահպ.</t>
  </si>
  <si>
    <t xml:space="preserve">Ð³í»Éí³Í  N 2 
Աբովյան համայնքի ավագանու 2022 թվականի  -------------- ի N   - Ա որոշման </t>
  </si>
  <si>
    <t>ՀՀ համայնքների բյուջեներին ,,Ֆինանսական համահարթեցման մասին,, ՀՀ օրենքով դոտացիաներ տրամադրելու նպատակով ,,ՀՀ 2023թվականի պետական բյուջեի մասին,,ՀՀ օրենքով նախատեսված հատկացումներ</t>
  </si>
  <si>
    <t>Հիմք՝ ՀՀ Հարկային օրենսգրք։ Կանխատեսումների ժամանակ հաշվի են առնվել  բազաների ճշտումները,նախորդ տարիների հարկերի գանձելիության մակարդակը,ապառքները և գերավճարները։ Անշարժ գույքի հարկի դրական տարբերությունը պայմանավորված է հարկի գումարի տոկոսային ավելացումով։</t>
  </si>
  <si>
    <t>«Տեղական տուրքերի և վճարների մասին» ՀՀ օրենք      Համայնքի վարչական տարածքում տեղական տուրքերի բազայի գույքագրումը և գնահատում</t>
  </si>
  <si>
    <t>«Պետական տուրքի մասին» ՀՀ օրենքը, նախորդ տարիների փաստացի մուտքերի հավաքագրման ցուցանիշներ</t>
  </si>
  <si>
    <t xml:space="preserve">  «Հայաստանի Հանրապետության բյուջետային համակարգի մասին» օրենք,  «Տեղական տուրքերի և վճարների մասին»  օրենք, գործող և նոր կնքված պայմանագրեր, ապառքներ,</t>
  </si>
  <si>
    <t>(հազար դրամ)</t>
  </si>
  <si>
    <t xml:space="preserve">Ð³í»Éí³Í  N 3 
Աբովյան համայնքի ավագանու 2022 թվականի  -------------- ի N   - Ա որոշման </t>
  </si>
  <si>
    <t>Պատասխանատու 
ստորաբաժանումներ</t>
  </si>
  <si>
    <t>Ֆինանսատնտեսագիտական և 
եկամուտների հաշվառման բաժին</t>
  </si>
  <si>
    <t>2. Քաղաքաշինության, հողաշինարարության, գյուղատնտեսության  և անշարժ գույքի կառավարման բաժին</t>
  </si>
  <si>
    <t>Առևտրի, սպասարկման, տրասնպորտի  և գովազդի  բաժին</t>
  </si>
  <si>
    <t>Քաղաքացիական կացության
 ակտերի գրանցման հետ կապված
 գործառույթներ կատարող մասնագետներ</t>
  </si>
  <si>
    <t>Նոտար</t>
  </si>
  <si>
    <t xml:space="preserve">Ð³í»Éí³Í  N 4 
Աբովյան համայնքի ավագանու 2022 թվականի  -------------- ի N   - Ա որոշման </t>
  </si>
  <si>
    <t xml:space="preserve">Ð³í»Éí³Í  N 5 
Աբովյան համայնքի ավագանու 2022 թվականի  -------------- ի N   - Ա որոշման </t>
  </si>
  <si>
    <t xml:space="preserve">Ð³í»Éí³Í  N 6 
Աբովյան համայնքի ավագանու 2022 թվականի  -------------- ի N   - Ա որոշման </t>
  </si>
  <si>
    <t xml:space="preserve">Ð³í»Éí³Í  N 7 
Աբովյան համայնքի ավագանու 2022 թվականի  -------------- ի N   - Ա որոշման </t>
  </si>
  <si>
    <t xml:space="preserve">Ð³í»Éí³Í  N 8 
Աբովյան համայնքի ավագանու 2022 թվականի  -------------- ի N   - Ա որոշման </t>
  </si>
  <si>
    <t>ՀՀ Կոտայքի մարզի Աբովյան  համայնքի 2023-2025թթ. միջնաժամկետ ծախսերի ծրագրերի վարչական և ֆոնդային մասերի տարեկան հատկացումները ըստ` բյուջետային ծախսերի գործառական դասակարգման բաժինների, խմբերի, դասերի և տնտեսագիտական դասակարգման հոդվածների</t>
  </si>
  <si>
    <t>ՀՀ Կոտայքի մարզի Աբովյան  համայնքի  միջնաժամկետ ծախսերի ծրագրի 2023-2025թթ. վարչական և ֆոնդային մասերի եկամուտները` ըստ ձևավորման աղբյուրների</t>
  </si>
  <si>
    <t>ՀՀ Կոտայքի մարզի Աբովյան  համայնքի միջնաժամկետ ծախսերի ծրագրի 2023-2025թթ. վարչական և ֆոնդային մասերի եկամուտները` ըստ ձևավորման աղբյուրների</t>
  </si>
  <si>
    <t>ՀՀ Կոտայքի մարզի Աբովյան  համայնքի 2023-2025թթ. միջնաժամկետ ծախսերի ծրագրի վարչական և ֆոնդային մասերի տարեկան հատկացումները` ըստ բյուջետային ծախսերի գործառական դասակարգման բաժինների, խմբերի և դասերի</t>
  </si>
  <si>
    <t>ՀՀ Կոտայքի մարզի Աբովյան  համայնքի 2023-2025թթ. միջնաժամկետ ծախսերի ծրագրի վարչական և ֆոնդային մասերի հատկացումների կատարումը` ըստ բյուջետային ծախսերի տնտեսագիտական դասակարգման հոդվածների</t>
  </si>
  <si>
    <t>ՀՀ Կոտայքի մարզի Աբովյան  համայնքի 2023-2025թթ. միջնաժամկետ ծախսերի ծրագրերի հավելուրդը (դեֆիցիտը)</t>
  </si>
  <si>
    <t xml:space="preserve">ՀՀ Կոտայքի մարզի Աբովյան  համայնքի 2023-2025թթ. միջնաժամկետ ծախսերի ծրագրերի դեֆիցիտի (պակացուրդի) ֆինանսավորումը ըստ աղբյուրների                                              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</si>
</sst>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\$* #,##0_);_(\$* \(#,##0\);_(\$* &quot;-&quot;_);_(@_)"/>
    <numFmt numFmtId="177" formatCode="_(\$* #,##0.00_);_(\$* \(#,##0.00\);_(\$* &quot;-&quot;??_);_(@_)"/>
    <numFmt numFmtId="178" formatCode="#,##0.0\ ;\(#,##0.0\)"/>
    <numFmt numFmtId="179" formatCode="#,##0&quot;  &quot;;[Red]\-#,##0&quot;  &quot;"/>
    <numFmt numFmtId="180" formatCode="#,##0.00&quot;  &quot;;[Red]\-#,##0.00&quot;  &quot;"/>
    <numFmt numFmtId="181" formatCode="#,##0.0_);\(#,##0.0\)"/>
    <numFmt numFmtId="182" formatCode="_(* #,##0.0_);_(* \(#,##0.0\);_(* &quot;-&quot;??_);_(@_)"/>
    <numFmt numFmtId="183" formatCode="#,##0.0"/>
    <numFmt numFmtId="184" formatCode="#,##0.0&quot;  &quot;;\-#,##0.0&quot;  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10409]0.0"/>
    <numFmt numFmtId="190" formatCode="0.0"/>
  </numFmts>
  <fonts count="50">
    <font>
      <sz val="8"/>
      <name val="Arial Armeni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 Armenian"/>
      <family val="2"/>
    </font>
    <font>
      <sz val="8"/>
      <name val="Arial LatArm"/>
      <family val="2"/>
    </font>
    <font>
      <b/>
      <sz val="8"/>
      <name val="Arial LatArm"/>
      <family val="2"/>
    </font>
    <font>
      <sz val="12"/>
      <name val="Arial LatArm"/>
      <family val="2"/>
    </font>
    <font>
      <b/>
      <i/>
      <sz val="8"/>
      <name val="Arial LatArm"/>
      <family val="2"/>
    </font>
    <font>
      <i/>
      <sz val="8"/>
      <name val="Arial LatArm"/>
      <family val="2"/>
    </font>
    <font>
      <sz val="10"/>
      <color indexed="8"/>
      <name val="Sylfaen"/>
      <family val="1"/>
    </font>
    <font>
      <sz val="10"/>
      <color indexed="8"/>
      <name val="Arial"/>
      <family val="2"/>
    </font>
    <font>
      <sz val="10"/>
      <name val="Sylfaen"/>
      <family val="1"/>
    </font>
    <font>
      <sz val="10"/>
      <name val="Arial LatArm"/>
      <family val="2"/>
    </font>
    <font>
      <sz val="8"/>
      <name val="GHEA Grapalat"/>
      <family val="3"/>
    </font>
    <font>
      <b/>
      <sz val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171" fontId="4" fillId="0" borderId="0" applyFont="0" applyFill="0" applyBorder="0" applyAlignment="0" applyProtection="0"/>
    <xf numFmtId="0" fontId="14" fillId="0" borderId="1" applyNumberFormat="0" applyFill="0" applyProtection="0">
      <alignment horizontal="left" vertical="center" wrapText="1"/>
    </xf>
    <xf numFmtId="0" fontId="4" fillId="0" borderId="0">
      <alignment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2" applyNumberFormat="0" applyAlignment="0" applyProtection="0"/>
    <xf numFmtId="0" fontId="36" fillId="26" borderId="3" applyNumberFormat="0" applyAlignment="0" applyProtection="0"/>
    <xf numFmtId="0" fontId="37" fillId="26" borderId="2" applyNumberFormat="0" applyAlignment="0" applyProtection="0"/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13" fontId="4" fillId="0" borderId="0" applyFont="0" applyFill="0" applyProtection="0">
      <alignment/>
    </xf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80" fontId="4" fillId="0" borderId="0" applyFont="0" applyFill="0" applyProtection="0">
      <alignment/>
    </xf>
    <xf numFmtId="179" fontId="4" fillId="0" borderId="0" applyFont="0" applyFill="0" applyProtection="0">
      <alignment/>
    </xf>
    <xf numFmtId="0" fontId="49" fillId="31" borderId="0" applyNumberFormat="0" applyBorder="0" applyAlignment="0" applyProtection="0"/>
  </cellStyleXfs>
  <cellXfs count="327">
    <xf numFmtId="0" fontId="0" fillId="0" borderId="0" xfId="0" applyAlignment="1">
      <alignment/>
    </xf>
    <xf numFmtId="178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/>
    </xf>
    <xf numFmtId="0" fontId="6" fillId="0" borderId="12" xfId="0" applyFont="1" applyBorder="1" applyAlignment="1">
      <alignment horizontal="left" vertical="center" wrapText="1"/>
    </xf>
    <xf numFmtId="178" fontId="6" fillId="0" borderId="12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178" fontId="6" fillId="0" borderId="0" xfId="0" applyNumberFormat="1" applyFont="1" applyAlignment="1">
      <alignment horizontal="right" vertical="top"/>
    </xf>
    <xf numFmtId="178" fontId="6" fillId="0" borderId="0" xfId="0" applyNumberFormat="1" applyFont="1" applyAlignment="1">
      <alignment horizontal="right" vertical="center"/>
    </xf>
    <xf numFmtId="0" fontId="7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top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center" vertical="top"/>
    </xf>
    <xf numFmtId="178" fontId="6" fillId="0" borderId="0" xfId="0" applyNumberFormat="1" applyFont="1" applyAlignment="1">
      <alignment horizontal="center" vertical="top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  <xf numFmtId="0" fontId="11" fillId="0" borderId="18" xfId="55" applyFont="1" applyBorder="1" applyAlignment="1" applyProtection="1">
      <alignment vertical="center" wrapText="1" readingOrder="1"/>
      <protection locked="0"/>
    </xf>
    <xf numFmtId="0" fontId="13" fillId="0" borderId="18" xfId="0" applyFont="1" applyBorder="1" applyAlignment="1" applyProtection="1">
      <alignment horizontal="left" vertical="center" wrapText="1" readingOrder="1"/>
      <protection locked="0"/>
    </xf>
    <xf numFmtId="0" fontId="13" fillId="0" borderId="18" xfId="0" applyFont="1" applyBorder="1" applyAlignment="1" applyProtection="1">
      <alignment horizontal="center" vertical="center" wrapText="1" readingOrder="1"/>
      <protection locked="0"/>
    </xf>
    <xf numFmtId="0" fontId="11" fillId="0" borderId="18" xfId="0" applyFont="1" applyBorder="1" applyAlignment="1" applyProtection="1">
      <alignment vertical="center" wrapText="1" readingOrder="1"/>
      <protection locked="0"/>
    </xf>
    <xf numFmtId="0" fontId="12" fillId="0" borderId="18" xfId="0" applyFont="1" applyBorder="1" applyAlignment="1" applyProtection="1">
      <alignment horizontal="center" vertical="center" wrapText="1" readingOrder="1"/>
      <protection locked="0"/>
    </xf>
    <xf numFmtId="190" fontId="6" fillId="0" borderId="12" xfId="0" applyNumberFormat="1" applyFont="1" applyBorder="1" applyAlignment="1">
      <alignment horizontal="right" vertical="center"/>
    </xf>
    <xf numFmtId="190" fontId="7" fillId="0" borderId="12" xfId="0" applyNumberFormat="1" applyFont="1" applyBorder="1" applyAlignment="1">
      <alignment horizontal="right" vertical="center"/>
    </xf>
    <xf numFmtId="190" fontId="6" fillId="0" borderId="12" xfId="0" applyNumberFormat="1" applyFont="1" applyBorder="1" applyAlignment="1">
      <alignment horizontal="right" vertical="top"/>
    </xf>
    <xf numFmtId="190" fontId="0" fillId="0" borderId="0" xfId="0" applyNumberFormat="1" applyAlignment="1">
      <alignment horizontal="left" vertical="top" wrapText="1"/>
    </xf>
    <xf numFmtId="190" fontId="0" fillId="0" borderId="0" xfId="0" applyNumberFormat="1" applyAlignment="1">
      <alignment horizontal="right" vertical="top"/>
    </xf>
    <xf numFmtId="190" fontId="0" fillId="0" borderId="0" xfId="0" applyNumberFormat="1" applyAlignment="1">
      <alignment/>
    </xf>
    <xf numFmtId="190" fontId="6" fillId="0" borderId="12" xfId="0" applyNumberFormat="1" applyFont="1" applyBorder="1" applyAlignment="1">
      <alignment horizontal="center" vertical="center"/>
    </xf>
    <xf numFmtId="190" fontId="0" fillId="0" borderId="12" xfId="0" applyNumberFormat="1" applyBorder="1" applyAlignment="1">
      <alignment vertical="center"/>
    </xf>
    <xf numFmtId="190" fontId="0" fillId="0" borderId="0" xfId="0" applyNumberFormat="1" applyAlignment="1">
      <alignment vertical="center"/>
    </xf>
    <xf numFmtId="190" fontId="6" fillId="0" borderId="12" xfId="0" applyNumberFormat="1" applyFont="1" applyBorder="1" applyAlignment="1">
      <alignment horizontal="center" vertical="top"/>
    </xf>
    <xf numFmtId="190" fontId="0" fillId="0" borderId="12" xfId="0" applyNumberFormat="1" applyBorder="1" applyAlignment="1">
      <alignment/>
    </xf>
    <xf numFmtId="190" fontId="0" fillId="0" borderId="0" xfId="0" applyNumberFormat="1" applyAlignment="1">
      <alignment horizontal="center" vertical="top"/>
    </xf>
    <xf numFmtId="190" fontId="6" fillId="0" borderId="12" xfId="0" applyNumberFormat="1" applyFont="1" applyFill="1" applyBorder="1" applyAlignment="1">
      <alignment horizontal="center" vertical="center"/>
    </xf>
    <xf numFmtId="190" fontId="6" fillId="0" borderId="12" xfId="0" applyNumberFormat="1" applyFont="1" applyFill="1" applyBorder="1" applyAlignment="1">
      <alignment horizontal="center" vertical="top"/>
    </xf>
    <xf numFmtId="0" fontId="13" fillId="0" borderId="19" xfId="0" applyFont="1" applyBorder="1" applyAlignment="1" applyProtection="1">
      <alignment horizontal="center" vertical="center" wrapText="1" readingOrder="1"/>
      <protection locked="0"/>
    </xf>
    <xf numFmtId="0" fontId="13" fillId="0" borderId="19" xfId="0" applyFont="1" applyBorder="1" applyAlignment="1" applyProtection="1">
      <alignment horizontal="left" vertical="center" wrapText="1" readingOrder="1"/>
      <protection locked="0"/>
    </xf>
    <xf numFmtId="0" fontId="6" fillId="0" borderId="20" xfId="0" applyFont="1" applyBorder="1" applyAlignment="1">
      <alignment horizontal="center" vertical="top"/>
    </xf>
    <xf numFmtId="0" fontId="10" fillId="0" borderId="21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center"/>
    </xf>
    <xf numFmtId="178" fontId="6" fillId="0" borderId="21" xfId="0" applyNumberFormat="1" applyFont="1" applyBorder="1" applyAlignment="1">
      <alignment horizontal="right" vertic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6" fillId="32" borderId="12" xfId="0" applyNumberFormat="1" applyFont="1" applyFill="1" applyBorder="1" applyAlignment="1">
      <alignment horizontal="center" vertical="center" wrapText="1"/>
    </xf>
    <xf numFmtId="178" fontId="0" fillId="32" borderId="0" xfId="0" applyNumberFormat="1" applyFill="1" applyAlignment="1">
      <alignment horizontal="right" vertical="top"/>
    </xf>
    <xf numFmtId="178" fontId="0" fillId="32" borderId="0" xfId="0" applyNumberFormat="1" applyFill="1" applyAlignment="1">
      <alignment horizontal="center" vertical="top"/>
    </xf>
    <xf numFmtId="0" fontId="0" fillId="32" borderId="0" xfId="0" applyFill="1" applyAlignment="1">
      <alignment horizontal="left" vertical="top"/>
    </xf>
    <xf numFmtId="0" fontId="6" fillId="32" borderId="12" xfId="0" applyNumberFormat="1" applyFont="1" applyFill="1" applyBorder="1" applyAlignment="1">
      <alignment horizontal="center" vertical="center"/>
    </xf>
    <xf numFmtId="190" fontId="6" fillId="32" borderId="12" xfId="0" applyNumberFormat="1" applyFont="1" applyFill="1" applyBorder="1" applyAlignment="1">
      <alignment horizontal="right" vertical="center"/>
    </xf>
    <xf numFmtId="190" fontId="7" fillId="32" borderId="12" xfId="0" applyNumberFormat="1" applyFont="1" applyFill="1" applyBorder="1" applyAlignment="1">
      <alignment horizontal="right" vertical="center"/>
    </xf>
    <xf numFmtId="190" fontId="6" fillId="32" borderId="12" xfId="0" applyNumberFormat="1" applyFont="1" applyFill="1" applyBorder="1" applyAlignment="1">
      <alignment horizontal="right" vertical="top"/>
    </xf>
    <xf numFmtId="190" fontId="0" fillId="32" borderId="0" xfId="0" applyNumberFormat="1" applyFill="1" applyAlignment="1">
      <alignment horizontal="right" vertical="top"/>
    </xf>
    <xf numFmtId="178" fontId="6" fillId="32" borderId="0" xfId="0" applyNumberFormat="1" applyFont="1" applyFill="1" applyAlignment="1">
      <alignment horizontal="right" vertical="top"/>
    </xf>
    <xf numFmtId="178" fontId="6" fillId="32" borderId="0" xfId="0" applyNumberFormat="1" applyFont="1" applyFill="1" applyAlignment="1">
      <alignment horizontal="center" vertical="top"/>
    </xf>
    <xf numFmtId="190" fontId="6" fillId="32" borderId="12" xfId="0" applyNumberFormat="1" applyFont="1" applyFill="1" applyBorder="1" applyAlignment="1">
      <alignment horizontal="center" vertical="center"/>
    </xf>
    <xf numFmtId="190" fontId="6" fillId="32" borderId="12" xfId="0" applyNumberFormat="1" applyFont="1" applyFill="1" applyBorder="1" applyAlignment="1">
      <alignment horizontal="center" vertical="top"/>
    </xf>
    <xf numFmtId="190" fontId="0" fillId="32" borderId="0" xfId="0" applyNumberFormat="1" applyFill="1" applyAlignment="1">
      <alignment horizontal="left" vertical="top" wrapText="1"/>
    </xf>
    <xf numFmtId="178" fontId="6" fillId="0" borderId="12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8" fontId="0" fillId="32" borderId="0" xfId="0" applyNumberFormat="1" applyFill="1" applyAlignment="1">
      <alignment horizontal="right" vertical="center" wrapText="1"/>
    </xf>
    <xf numFmtId="178" fontId="0" fillId="32" borderId="0" xfId="0" applyNumberFormat="1" applyFill="1" applyAlignment="1">
      <alignment horizontal="center" vertical="center" wrapText="1"/>
    </xf>
    <xf numFmtId="178" fontId="8" fillId="32" borderId="0" xfId="0" applyNumberFormat="1" applyFont="1" applyFill="1" applyAlignment="1">
      <alignment vertical="center"/>
    </xf>
    <xf numFmtId="190" fontId="6" fillId="32" borderId="0" xfId="0" applyNumberFormat="1" applyFont="1" applyFill="1" applyAlignment="1">
      <alignment horizontal="right" vertical="top"/>
    </xf>
    <xf numFmtId="0" fontId="6" fillId="32" borderId="12" xfId="0" applyNumberFormat="1" applyFont="1" applyFill="1" applyBorder="1" applyAlignment="1">
      <alignment horizontal="center" vertical="center"/>
    </xf>
    <xf numFmtId="0" fontId="6" fillId="32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178" fontId="0" fillId="0" borderId="0" xfId="0" applyNumberFormat="1" applyFont="1" applyAlignment="1">
      <alignment horizontal="center" vertical="top"/>
    </xf>
    <xf numFmtId="178" fontId="0" fillId="0" borderId="0" xfId="0" applyNumberFormat="1" applyFont="1" applyAlignment="1">
      <alignment horizontal="left" vertical="top" wrapText="1"/>
    </xf>
    <xf numFmtId="178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/>
    </xf>
    <xf numFmtId="178" fontId="6" fillId="0" borderId="0" xfId="0" applyNumberFormat="1" applyFont="1" applyAlignment="1">
      <alignment horizontal="left" vertical="top" wrapText="1"/>
    </xf>
    <xf numFmtId="178" fontId="7" fillId="0" borderId="12" xfId="0" applyNumberFormat="1" applyFont="1" applyBorder="1" applyAlignment="1">
      <alignment horizontal="center" vertical="center" wrapText="1"/>
    </xf>
    <xf numFmtId="178" fontId="7" fillId="0" borderId="12" xfId="0" applyNumberFormat="1" applyFont="1" applyBorder="1" applyAlignment="1">
      <alignment horizontal="right" vertical="center" wrapText="1"/>
    </xf>
    <xf numFmtId="190" fontId="7" fillId="0" borderId="12" xfId="0" applyNumberFormat="1" applyFont="1" applyBorder="1" applyAlignment="1">
      <alignment horizontal="right" vertical="center" wrapText="1"/>
    </xf>
    <xf numFmtId="190" fontId="0" fillId="0" borderId="13" xfId="0" applyNumberFormat="1" applyFont="1" applyBorder="1" applyAlignment="1">
      <alignment vertical="center"/>
    </xf>
    <xf numFmtId="19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8" fontId="6" fillId="0" borderId="12" xfId="0" applyNumberFormat="1" applyFont="1" applyBorder="1" applyAlignment="1">
      <alignment horizontal="center" vertical="top"/>
    </xf>
    <xf numFmtId="178" fontId="6" fillId="0" borderId="12" xfId="0" applyNumberFormat="1" applyFont="1" applyBorder="1" applyAlignment="1">
      <alignment horizontal="left" vertical="top" wrapText="1"/>
    </xf>
    <xf numFmtId="190" fontId="0" fillId="0" borderId="13" xfId="0" applyNumberFormat="1" applyFont="1" applyBorder="1" applyAlignment="1">
      <alignment/>
    </xf>
    <xf numFmtId="190" fontId="0" fillId="0" borderId="0" xfId="0" applyNumberFormat="1" applyFont="1" applyAlignment="1">
      <alignment/>
    </xf>
    <xf numFmtId="178" fontId="9" fillId="0" borderId="12" xfId="0" applyNumberFormat="1" applyFont="1" applyBorder="1" applyAlignment="1">
      <alignment horizontal="left" vertical="center" wrapText="1"/>
    </xf>
    <xf numFmtId="178" fontId="9" fillId="0" borderId="12" xfId="0" applyNumberFormat="1" applyFont="1" applyBorder="1" applyAlignment="1">
      <alignment horizontal="right" vertical="center" wrapText="1"/>
    </xf>
    <xf numFmtId="190" fontId="9" fillId="0" borderId="12" xfId="0" applyNumberFormat="1" applyFont="1" applyBorder="1" applyAlignment="1">
      <alignment horizontal="right" vertical="center" wrapText="1"/>
    </xf>
    <xf numFmtId="178" fontId="6" fillId="0" borderId="12" xfId="0" applyNumberFormat="1" applyFont="1" applyBorder="1" applyAlignment="1">
      <alignment horizontal="left" vertical="center" wrapText="1"/>
    </xf>
    <xf numFmtId="178" fontId="9" fillId="0" borderId="12" xfId="0" applyNumberFormat="1" applyFont="1" applyBorder="1" applyAlignment="1">
      <alignment horizontal="center" vertical="center"/>
    </xf>
    <xf numFmtId="190" fontId="9" fillId="0" borderId="12" xfId="0" applyNumberFormat="1" applyFont="1" applyBorder="1" applyAlignment="1">
      <alignment horizontal="center" vertical="center"/>
    </xf>
    <xf numFmtId="178" fontId="9" fillId="0" borderId="12" xfId="0" applyNumberFormat="1" applyFont="1" applyBorder="1" applyAlignment="1">
      <alignment horizontal="left" vertical="top" wrapText="1"/>
    </xf>
    <xf numFmtId="178" fontId="9" fillId="0" borderId="12" xfId="0" applyNumberFormat="1" applyFont="1" applyBorder="1" applyAlignment="1">
      <alignment horizontal="right" vertical="top" wrapText="1"/>
    </xf>
    <xf numFmtId="190" fontId="9" fillId="0" borderId="12" xfId="0" applyNumberFormat="1" applyFont="1" applyBorder="1" applyAlignment="1">
      <alignment horizontal="right" vertical="top" wrapText="1"/>
    </xf>
    <xf numFmtId="178" fontId="9" fillId="0" borderId="12" xfId="0" applyNumberFormat="1" applyFont="1" applyBorder="1" applyAlignment="1">
      <alignment horizontal="center" vertical="top"/>
    </xf>
    <xf numFmtId="190" fontId="9" fillId="0" borderId="12" xfId="0" applyNumberFormat="1" applyFont="1" applyBorder="1" applyAlignment="1">
      <alignment horizontal="center" vertical="top"/>
    </xf>
    <xf numFmtId="0" fontId="6" fillId="0" borderId="12" xfId="0" applyFont="1" applyBorder="1" applyAlignment="1" quotePrefix="1">
      <alignment horizontal="center" vertical="center"/>
    </xf>
    <xf numFmtId="178" fontId="6" fillId="0" borderId="12" xfId="0" applyNumberFormat="1" applyFont="1" applyBorder="1" applyAlignment="1" quotePrefix="1">
      <alignment horizontal="center" vertical="center"/>
    </xf>
    <xf numFmtId="0" fontId="6" fillId="0" borderId="12" xfId="0" applyFont="1" applyBorder="1" applyAlignment="1" quotePrefix="1">
      <alignment horizontal="center" vertical="top"/>
    </xf>
    <xf numFmtId="178" fontId="6" fillId="0" borderId="12" xfId="0" applyNumberFormat="1" applyFont="1" applyBorder="1" applyAlignment="1" quotePrefix="1">
      <alignment horizontal="center" vertical="top"/>
    </xf>
    <xf numFmtId="0" fontId="6" fillId="0" borderId="23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6" fillId="0" borderId="23" xfId="0" applyNumberFormat="1" applyFont="1" applyBorder="1" applyAlignment="1">
      <alignment horizontal="center" vertical="top"/>
    </xf>
    <xf numFmtId="0" fontId="13" fillId="0" borderId="12" xfId="0" applyFont="1" applyBorder="1" applyAlignment="1" applyProtection="1">
      <alignment horizontal="center" vertical="center" wrapText="1" readingOrder="1"/>
      <protection locked="0"/>
    </xf>
    <xf numFmtId="0" fontId="13" fillId="0" borderId="12" xfId="0" applyFont="1" applyBorder="1" applyAlignment="1" applyProtection="1">
      <alignment horizontal="left" vertical="center" wrapText="1" readingOrder="1"/>
      <protection locked="0"/>
    </xf>
    <xf numFmtId="178" fontId="6" fillId="0" borderId="15" xfId="0" applyNumberFormat="1" applyFont="1" applyBorder="1" applyAlignment="1">
      <alignment horizontal="center" vertical="top"/>
    </xf>
    <xf numFmtId="178" fontId="6" fillId="0" borderId="15" xfId="0" applyNumberFormat="1" applyFont="1" applyBorder="1" applyAlignment="1">
      <alignment horizontal="left" vertical="top" wrapText="1"/>
    </xf>
    <xf numFmtId="190" fontId="6" fillId="0" borderId="15" xfId="0" applyNumberFormat="1" applyFont="1" applyBorder="1" applyAlignment="1">
      <alignment horizontal="right" vertical="center"/>
    </xf>
    <xf numFmtId="190" fontId="6" fillId="0" borderId="15" xfId="0" applyNumberFormat="1" applyFont="1" applyBorder="1" applyAlignment="1">
      <alignment horizontal="center" vertical="top"/>
    </xf>
    <xf numFmtId="190" fontId="0" fillId="0" borderId="24" xfId="0" applyNumberFormat="1" applyFont="1" applyBorder="1" applyAlignment="1">
      <alignment/>
    </xf>
    <xf numFmtId="190" fontId="0" fillId="0" borderId="0" xfId="0" applyNumberFormat="1" applyFont="1" applyAlignment="1">
      <alignment horizontal="center" vertical="top"/>
    </xf>
    <xf numFmtId="190" fontId="0" fillId="0" borderId="0" xfId="0" applyNumberFormat="1" applyFont="1" applyAlignment="1">
      <alignment horizontal="right" vertical="top"/>
    </xf>
    <xf numFmtId="0" fontId="6" fillId="32" borderId="12" xfId="0" applyNumberFormat="1" applyFont="1" applyFill="1" applyBorder="1" applyAlignment="1">
      <alignment horizontal="center" vertical="center"/>
    </xf>
    <xf numFmtId="0" fontId="6" fillId="32" borderId="12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 vertical="center" wrapText="1"/>
    </xf>
    <xf numFmtId="0" fontId="0" fillId="32" borderId="0" xfId="0" applyFill="1" applyAlignment="1">
      <alignment horizontal="left" vertical="center" wrapText="1"/>
    </xf>
    <xf numFmtId="0" fontId="0" fillId="32" borderId="0" xfId="0" applyFill="1" applyAlignment="1">
      <alignment vertical="center" wrapText="1"/>
    </xf>
    <xf numFmtId="0" fontId="0" fillId="32" borderId="0" xfId="0" applyFill="1" applyAlignment="1">
      <alignment horizontal="center" vertical="top"/>
    </xf>
    <xf numFmtId="0" fontId="0" fillId="32" borderId="0" xfId="0" applyFill="1" applyAlignment="1">
      <alignment horizontal="left" vertical="top" wrapText="1"/>
    </xf>
    <xf numFmtId="0" fontId="0" fillId="32" borderId="0" xfId="0" applyFill="1" applyAlignment="1">
      <alignment/>
    </xf>
    <xf numFmtId="0" fontId="6" fillId="32" borderId="11" xfId="0" applyNumberFormat="1" applyFont="1" applyFill="1" applyBorder="1" applyAlignment="1">
      <alignment horizontal="center" vertical="center"/>
    </xf>
    <xf numFmtId="0" fontId="6" fillId="32" borderId="21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7" fillId="32" borderId="12" xfId="0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left" vertical="top" wrapText="1"/>
    </xf>
    <xf numFmtId="190" fontId="0" fillId="32" borderId="0" xfId="0" applyNumberFormat="1" applyFill="1" applyAlignment="1">
      <alignment/>
    </xf>
    <xf numFmtId="0" fontId="6" fillId="32" borderId="12" xfId="0" applyFont="1" applyFill="1" applyBorder="1" applyAlignment="1">
      <alignment horizontal="left" vertical="center" wrapText="1"/>
    </xf>
    <xf numFmtId="0" fontId="6" fillId="32" borderId="1" xfId="34" applyFont="1" applyFill="1" applyBorder="1" applyAlignment="1">
      <alignment horizontal="left" vertical="center" wrapText="1"/>
    </xf>
    <xf numFmtId="0" fontId="6" fillId="32" borderId="15" xfId="0" applyFont="1" applyFill="1" applyBorder="1" applyAlignment="1">
      <alignment horizontal="left" vertical="top" wrapText="1"/>
    </xf>
    <xf numFmtId="0" fontId="6" fillId="32" borderId="0" xfId="0" applyFont="1" applyFill="1" applyAlignment="1">
      <alignment horizontal="center" vertical="top"/>
    </xf>
    <xf numFmtId="0" fontId="6" fillId="32" borderId="0" xfId="0" applyFont="1" applyFill="1" applyAlignment="1">
      <alignment horizontal="left" vertical="top" wrapText="1"/>
    </xf>
    <xf numFmtId="190" fontId="6" fillId="32" borderId="0" xfId="0" applyNumberFormat="1" applyFont="1" applyFill="1" applyAlignment="1">
      <alignment horizontal="center" vertical="top"/>
    </xf>
    <xf numFmtId="0" fontId="7" fillId="32" borderId="11" xfId="0" applyFont="1" applyFill="1" applyBorder="1" applyAlignment="1">
      <alignment horizontal="left" vertical="center"/>
    </xf>
    <xf numFmtId="0" fontId="7" fillId="32" borderId="16" xfId="0" applyFont="1" applyFill="1" applyBorder="1" applyAlignment="1">
      <alignment horizontal="left" vertical="center"/>
    </xf>
    <xf numFmtId="190" fontId="7" fillId="32" borderId="25" xfId="0" applyNumberFormat="1" applyFont="1" applyFill="1" applyBorder="1" applyAlignment="1">
      <alignment horizontal="left" vertical="center" wrapText="1"/>
    </xf>
    <xf numFmtId="190" fontId="7" fillId="32" borderId="23" xfId="0" applyNumberFormat="1" applyFont="1" applyFill="1" applyBorder="1" applyAlignment="1">
      <alignment horizontal="left" vertical="center" wrapText="1"/>
    </xf>
    <xf numFmtId="190" fontId="7" fillId="32" borderId="12" xfId="0" applyNumberFormat="1" applyFont="1" applyFill="1" applyBorder="1" applyAlignment="1">
      <alignment horizontal="left" vertical="center" wrapText="1"/>
    </xf>
    <xf numFmtId="190" fontId="0" fillId="32" borderId="0" xfId="0" applyNumberFormat="1" applyFill="1" applyAlignment="1">
      <alignment horizontal="left" vertical="center"/>
    </xf>
    <xf numFmtId="0" fontId="0" fillId="32" borderId="0" xfId="0" applyFill="1" applyAlignment="1">
      <alignment horizontal="left" vertical="center"/>
    </xf>
    <xf numFmtId="0" fontId="6" fillId="32" borderId="11" xfId="0" applyFont="1" applyFill="1" applyBorder="1" applyAlignment="1">
      <alignment horizontal="left" vertical="top"/>
    </xf>
    <xf numFmtId="0" fontId="6" fillId="32" borderId="16" xfId="0" applyFont="1" applyFill="1" applyBorder="1" applyAlignment="1">
      <alignment horizontal="left" vertical="top"/>
    </xf>
    <xf numFmtId="190" fontId="7" fillId="32" borderId="26" xfId="0" applyNumberFormat="1" applyFont="1" applyFill="1" applyBorder="1" applyAlignment="1">
      <alignment horizontal="left" vertical="center" wrapText="1"/>
    </xf>
    <xf numFmtId="190" fontId="6" fillId="32" borderId="23" xfId="0" applyNumberFormat="1" applyFont="1" applyFill="1" applyBorder="1" applyAlignment="1">
      <alignment horizontal="left" vertical="center" wrapText="1"/>
    </xf>
    <xf numFmtId="190" fontId="6" fillId="32" borderId="12" xfId="0" applyNumberFormat="1" applyFont="1" applyFill="1" applyBorder="1" applyAlignment="1">
      <alignment horizontal="left" vertical="center" wrapText="1"/>
    </xf>
    <xf numFmtId="190" fontId="0" fillId="32" borderId="0" xfId="0" applyNumberFormat="1" applyFill="1" applyAlignment="1">
      <alignment horizontal="left"/>
    </xf>
    <xf numFmtId="0" fontId="0" fillId="32" borderId="0" xfId="0" applyFill="1" applyAlignment="1">
      <alignment horizontal="left"/>
    </xf>
    <xf numFmtId="0" fontId="6" fillId="32" borderId="11" xfId="0" applyFont="1" applyFill="1" applyBorder="1" applyAlignment="1">
      <alignment horizontal="left" vertical="center"/>
    </xf>
    <xf numFmtId="0" fontId="6" fillId="32" borderId="16" xfId="0" applyFont="1" applyFill="1" applyBorder="1" applyAlignment="1">
      <alignment horizontal="left" vertical="center"/>
    </xf>
    <xf numFmtId="0" fontId="6" fillId="32" borderId="14" xfId="0" applyFont="1" applyFill="1" applyBorder="1" applyAlignment="1">
      <alignment horizontal="left" vertical="top"/>
    </xf>
    <xf numFmtId="0" fontId="6" fillId="32" borderId="27" xfId="0" applyFont="1" applyFill="1" applyBorder="1" applyAlignment="1">
      <alignment horizontal="left" vertical="top"/>
    </xf>
    <xf numFmtId="190" fontId="7" fillId="32" borderId="28" xfId="0" applyNumberFormat="1" applyFont="1" applyFill="1" applyBorder="1" applyAlignment="1">
      <alignment horizontal="left" vertical="center" wrapText="1"/>
    </xf>
    <xf numFmtId="190" fontId="6" fillId="32" borderId="29" xfId="0" applyNumberFormat="1" applyFont="1" applyFill="1" applyBorder="1" applyAlignment="1">
      <alignment horizontal="left" vertical="center" wrapText="1"/>
    </xf>
    <xf numFmtId="190" fontId="6" fillId="32" borderId="15" xfId="0" applyNumberFormat="1" applyFont="1" applyFill="1" applyBorder="1" applyAlignment="1">
      <alignment horizontal="left" vertical="center" wrapText="1"/>
    </xf>
    <xf numFmtId="0" fontId="15" fillId="32" borderId="17" xfId="0" applyFont="1" applyFill="1" applyBorder="1" applyAlignment="1">
      <alignment horizontal="center" vertical="center"/>
    </xf>
    <xf numFmtId="178" fontId="15" fillId="32" borderId="0" xfId="0" applyNumberFormat="1" applyFont="1" applyFill="1" applyAlignment="1">
      <alignment vertical="center"/>
    </xf>
    <xf numFmtId="0" fontId="15" fillId="32" borderId="0" xfId="0" applyFont="1" applyFill="1" applyAlignment="1">
      <alignment/>
    </xf>
    <xf numFmtId="178" fontId="15" fillId="32" borderId="0" xfId="0" applyNumberFormat="1" applyFont="1" applyFill="1" applyAlignment="1">
      <alignment horizontal="right" vertical="center"/>
    </xf>
    <xf numFmtId="0" fontId="15" fillId="32" borderId="13" xfId="0" applyNumberFormat="1" applyFont="1" applyFill="1" applyBorder="1" applyAlignment="1">
      <alignment horizontal="center" vertical="center"/>
    </xf>
    <xf numFmtId="190" fontId="15" fillId="32" borderId="13" xfId="0" applyNumberFormat="1" applyFont="1" applyFill="1" applyBorder="1" applyAlignment="1">
      <alignment horizontal="left" vertical="center" wrapText="1"/>
    </xf>
    <xf numFmtId="190" fontId="16" fillId="32" borderId="12" xfId="0" applyNumberFormat="1" applyFont="1" applyFill="1" applyBorder="1" applyAlignment="1">
      <alignment horizontal="left" vertical="center" wrapText="1"/>
    </xf>
    <xf numFmtId="190" fontId="15" fillId="32" borderId="24" xfId="0" applyNumberFormat="1" applyFont="1" applyFill="1" applyBorder="1" applyAlignment="1">
      <alignment horizontal="left" vertical="center" wrapText="1"/>
    </xf>
    <xf numFmtId="190" fontId="15" fillId="32" borderId="0" xfId="0" applyNumberFormat="1" applyFont="1" applyFill="1" applyAlignment="1">
      <alignment/>
    </xf>
    <xf numFmtId="0" fontId="6" fillId="32" borderId="12" xfId="0" applyNumberFormat="1" applyFont="1" applyFill="1" applyBorder="1" applyAlignment="1">
      <alignment horizontal="center" vertical="center"/>
    </xf>
    <xf numFmtId="0" fontId="6" fillId="32" borderId="12" xfId="0" applyNumberFormat="1" applyFont="1" applyFill="1" applyBorder="1" applyAlignment="1">
      <alignment horizontal="center" vertical="center"/>
    </xf>
    <xf numFmtId="0" fontId="6" fillId="32" borderId="30" xfId="0" applyFont="1" applyFill="1" applyBorder="1" applyAlignment="1">
      <alignment horizontal="center" vertical="center" textRotation="90"/>
    </xf>
    <xf numFmtId="0" fontId="6" fillId="32" borderId="12" xfId="0" applyFont="1" applyFill="1" applyBorder="1" applyAlignment="1">
      <alignment horizontal="center" vertical="center" textRotation="90"/>
    </xf>
    <xf numFmtId="178" fontId="6" fillId="32" borderId="30" xfId="0" applyNumberFormat="1" applyFont="1" applyFill="1" applyBorder="1" applyAlignment="1">
      <alignment horizontal="center" vertical="center"/>
    </xf>
    <xf numFmtId="178" fontId="6" fillId="32" borderId="30" xfId="0" applyNumberFormat="1" applyFont="1" applyFill="1" applyBorder="1" applyAlignment="1">
      <alignment horizontal="center" vertical="center" wrapText="1"/>
    </xf>
    <xf numFmtId="0" fontId="6" fillId="32" borderId="3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3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190" fontId="15" fillId="32" borderId="22" xfId="0" applyNumberFormat="1" applyFont="1" applyFill="1" applyBorder="1" applyAlignment="1">
      <alignment horizontal="left" vertical="center" wrapText="1"/>
    </xf>
    <xf numFmtId="190" fontId="15" fillId="32" borderId="32" xfId="0" applyNumberFormat="1" applyFont="1" applyFill="1" applyBorder="1" applyAlignment="1">
      <alignment horizontal="left" vertical="center" wrapText="1"/>
    </xf>
    <xf numFmtId="190" fontId="15" fillId="32" borderId="33" xfId="0" applyNumberFormat="1" applyFont="1" applyFill="1" applyBorder="1" applyAlignment="1">
      <alignment horizontal="left" vertical="center" wrapText="1"/>
    </xf>
    <xf numFmtId="190" fontId="15" fillId="32" borderId="22" xfId="0" applyNumberFormat="1" applyFont="1" applyFill="1" applyBorder="1" applyAlignment="1">
      <alignment horizontal="center" vertical="center" wrapText="1"/>
    </xf>
    <xf numFmtId="190" fontId="15" fillId="32" borderId="32" xfId="0" applyNumberFormat="1" applyFont="1" applyFill="1" applyBorder="1" applyAlignment="1">
      <alignment horizontal="center" vertical="center" wrapText="1"/>
    </xf>
    <xf numFmtId="190" fontId="15" fillId="32" borderId="33" xfId="0" applyNumberFormat="1" applyFont="1" applyFill="1" applyBorder="1" applyAlignment="1">
      <alignment horizontal="center" vertical="center" wrapText="1"/>
    </xf>
    <xf numFmtId="178" fontId="14" fillId="32" borderId="0" xfId="0" applyNumberFormat="1" applyFont="1" applyFill="1" applyAlignment="1">
      <alignment horizontal="center" vertical="center" wrapText="1"/>
    </xf>
    <xf numFmtId="0" fontId="15" fillId="32" borderId="13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/>
    </xf>
    <xf numFmtId="178" fontId="6" fillId="0" borderId="30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178" fontId="8" fillId="0" borderId="0" xfId="0" applyNumberFormat="1" applyFont="1" applyAlignment="1">
      <alignment horizontal="right" vertical="center"/>
    </xf>
    <xf numFmtId="178" fontId="6" fillId="0" borderId="34" xfId="0" applyNumberFormat="1" applyFont="1" applyBorder="1" applyAlignment="1">
      <alignment horizontal="center" vertical="center" wrapText="1"/>
    </xf>
    <xf numFmtId="178" fontId="6" fillId="0" borderId="35" xfId="0" applyNumberFormat="1" applyFont="1" applyBorder="1" applyAlignment="1">
      <alignment horizontal="center" vertical="center" wrapText="1"/>
    </xf>
    <xf numFmtId="178" fontId="6" fillId="0" borderId="36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178" fontId="6" fillId="0" borderId="12" xfId="0" applyNumberFormat="1" applyFont="1" applyBorder="1" applyAlignment="1">
      <alignment horizontal="center" vertical="center"/>
    </xf>
    <xf numFmtId="178" fontId="6" fillId="0" borderId="12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178" fontId="6" fillId="0" borderId="3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3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32" borderId="12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190" fontId="0" fillId="0" borderId="13" xfId="0" applyNumberFormat="1" applyBorder="1" applyAlignment="1">
      <alignment vertical="center" wrapText="1"/>
    </xf>
    <xf numFmtId="190" fontId="0" fillId="0" borderId="24" xfId="0" applyNumberFormat="1" applyBorder="1" applyAlignment="1">
      <alignment vertical="center" wrapText="1"/>
    </xf>
    <xf numFmtId="190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 wrapText="1"/>
    </xf>
    <xf numFmtId="178" fontId="0" fillId="0" borderId="0" xfId="0" applyNumberFormat="1" applyAlignment="1">
      <alignment vertical="center" wrapText="1"/>
    </xf>
    <xf numFmtId="178" fontId="0" fillId="32" borderId="0" xfId="0" applyNumberFormat="1" applyFill="1" applyAlignment="1">
      <alignment vertical="center" wrapText="1"/>
    </xf>
    <xf numFmtId="178" fontId="6" fillId="0" borderId="0" xfId="0" applyNumberFormat="1" applyFont="1" applyAlignment="1">
      <alignment vertical="center" wrapText="1"/>
    </xf>
    <xf numFmtId="0" fontId="6" fillId="0" borderId="12" xfId="0" applyNumberFormat="1" applyFont="1" applyBorder="1" applyAlignment="1">
      <alignment vertical="center" wrapText="1"/>
    </xf>
    <xf numFmtId="0" fontId="6" fillId="32" borderId="12" xfId="0" applyNumberFormat="1" applyFont="1" applyFill="1" applyBorder="1" applyAlignment="1">
      <alignment vertical="center" wrapText="1"/>
    </xf>
    <xf numFmtId="0" fontId="6" fillId="0" borderId="16" xfId="0" applyNumberFormat="1" applyFont="1" applyBorder="1" applyAlignment="1">
      <alignment vertical="center" wrapText="1"/>
    </xf>
    <xf numFmtId="0" fontId="6" fillId="0" borderId="11" xfId="0" applyNumberFormat="1" applyFont="1" applyBorder="1" applyAlignment="1">
      <alignment vertical="center" wrapText="1"/>
    </xf>
    <xf numFmtId="0" fontId="6" fillId="0" borderId="13" xfId="0" applyNumberFormat="1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90" fontId="7" fillId="0" borderId="12" xfId="0" applyNumberFormat="1" applyFont="1" applyBorder="1" applyAlignment="1">
      <alignment vertical="center" wrapText="1"/>
    </xf>
    <xf numFmtId="190" fontId="7" fillId="32" borderId="12" xfId="0" applyNumberFormat="1" applyFont="1" applyFill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190" fontId="6" fillId="0" borderId="12" xfId="0" applyNumberFormat="1" applyFont="1" applyBorder="1" applyAlignment="1">
      <alignment vertical="center" wrapText="1"/>
    </xf>
    <xf numFmtId="190" fontId="6" fillId="32" borderId="12" xfId="0" applyNumberFormat="1" applyFont="1" applyFill="1" applyBorder="1" applyAlignment="1">
      <alignment vertical="center" wrapText="1"/>
    </xf>
    <xf numFmtId="190" fontId="6" fillId="0" borderId="16" xfId="0" applyNumberFormat="1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190" fontId="9" fillId="0" borderId="12" xfId="0" applyNumberFormat="1" applyFont="1" applyBorder="1" applyAlignment="1">
      <alignment vertical="center" wrapText="1"/>
    </xf>
    <xf numFmtId="190" fontId="9" fillId="32" borderId="12" xfId="0" applyNumberFormat="1" applyFont="1" applyFill="1" applyBorder="1" applyAlignment="1">
      <alignment vertical="center" wrapText="1"/>
    </xf>
    <xf numFmtId="190" fontId="7" fillId="0" borderId="16" xfId="0" applyNumberFormat="1" applyFont="1" applyBorder="1" applyAlignment="1">
      <alignment vertical="center" wrapText="1"/>
    </xf>
    <xf numFmtId="0" fontId="6" fillId="0" borderId="12" xfId="0" applyNumberFormat="1" applyFont="1" applyBorder="1" applyAlignment="1" quotePrefix="1">
      <alignment vertical="center" wrapText="1"/>
    </xf>
    <xf numFmtId="0" fontId="11" fillId="0" borderId="0" xfId="0" applyFont="1" applyBorder="1" applyAlignment="1" applyProtection="1">
      <alignment vertical="center" wrapText="1" readingOrder="1"/>
      <protection locked="0"/>
    </xf>
    <xf numFmtId="0" fontId="13" fillId="0" borderId="19" xfId="0" applyFont="1" applyBorder="1" applyAlignment="1" applyProtection="1">
      <alignment vertical="center" wrapText="1" readingOrder="1"/>
      <protection locked="0"/>
    </xf>
    <xf numFmtId="0" fontId="13" fillId="0" borderId="18" xfId="0" applyFont="1" applyBorder="1" applyAlignment="1" applyProtection="1">
      <alignment vertical="center" wrapText="1" readingOrder="1"/>
      <protection locked="0"/>
    </xf>
    <xf numFmtId="190" fontId="7" fillId="0" borderId="21" xfId="0" applyNumberFormat="1" applyFont="1" applyBorder="1" applyAlignment="1">
      <alignment vertical="center" wrapText="1"/>
    </xf>
    <xf numFmtId="190" fontId="9" fillId="0" borderId="16" xfId="0" applyNumberFormat="1" applyFont="1" applyBorder="1" applyAlignment="1">
      <alignment vertical="center" wrapText="1"/>
    </xf>
    <xf numFmtId="190" fontId="9" fillId="32" borderId="16" xfId="0" applyNumberFormat="1" applyFont="1" applyFill="1" applyBorder="1" applyAlignment="1">
      <alignment vertical="center" wrapText="1"/>
    </xf>
    <xf numFmtId="190" fontId="9" fillId="0" borderId="23" xfId="0" applyNumberFormat="1" applyFont="1" applyBorder="1" applyAlignment="1">
      <alignment vertical="center" wrapText="1"/>
    </xf>
    <xf numFmtId="190" fontId="6" fillId="32" borderId="16" xfId="0" applyNumberFormat="1" applyFont="1" applyFill="1" applyBorder="1" applyAlignment="1">
      <alignment vertical="center" wrapText="1"/>
    </xf>
    <xf numFmtId="190" fontId="6" fillId="0" borderId="23" xfId="0" applyNumberFormat="1" applyFont="1" applyBorder="1" applyAlignment="1">
      <alignment vertical="center" wrapText="1"/>
    </xf>
    <xf numFmtId="0" fontId="6" fillId="0" borderId="14" xfId="0" applyNumberFormat="1" applyFont="1" applyBorder="1" applyAlignment="1">
      <alignment vertical="center" wrapText="1"/>
    </xf>
    <xf numFmtId="0" fontId="6" fillId="0" borderId="15" xfId="0" applyNumberFormat="1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190" fontId="6" fillId="0" borderId="15" xfId="0" applyNumberFormat="1" applyFont="1" applyBorder="1" applyAlignment="1">
      <alignment vertical="center" wrapText="1"/>
    </xf>
    <xf numFmtId="190" fontId="6" fillId="0" borderId="27" xfId="0" applyNumberFormat="1" applyFont="1" applyBorder="1" applyAlignment="1">
      <alignment vertical="center" wrapText="1"/>
    </xf>
    <xf numFmtId="190" fontId="6" fillId="32" borderId="15" xfId="0" applyNumberFormat="1" applyFont="1" applyFill="1" applyBorder="1" applyAlignment="1">
      <alignment vertical="center" wrapText="1"/>
    </xf>
    <xf numFmtId="190" fontId="6" fillId="32" borderId="27" xfId="0" applyNumberFormat="1" applyFont="1" applyFill="1" applyBorder="1" applyAlignment="1">
      <alignment vertical="center" wrapText="1"/>
    </xf>
    <xf numFmtId="190" fontId="6" fillId="0" borderId="29" xfId="0" applyNumberFormat="1" applyFont="1" applyBorder="1" applyAlignment="1">
      <alignment vertical="center" wrapText="1"/>
    </xf>
    <xf numFmtId="190" fontId="0" fillId="32" borderId="0" xfId="0" applyNumberFormat="1" applyFill="1" applyAlignment="1">
      <alignment vertical="center" wrapText="1"/>
    </xf>
    <xf numFmtId="190" fontId="7" fillId="0" borderId="0" xfId="0" applyNumberFormat="1" applyFont="1" applyBorder="1" applyAlignment="1">
      <alignment vertical="center" wrapText="1"/>
    </xf>
    <xf numFmtId="0" fontId="6" fillId="32" borderId="37" xfId="0" applyFont="1" applyFill="1" applyBorder="1" applyAlignment="1">
      <alignment horizontal="center" vertical="center" textRotation="90"/>
    </xf>
    <xf numFmtId="0" fontId="7" fillId="32" borderId="12" xfId="0" applyFont="1" applyFill="1" applyBorder="1" applyAlignment="1">
      <alignment horizontal="left" vertical="center"/>
    </xf>
    <xf numFmtId="0" fontId="6" fillId="32" borderId="12" xfId="0" applyFont="1" applyFill="1" applyBorder="1" applyAlignment="1">
      <alignment horizontal="left" vertical="top"/>
    </xf>
    <xf numFmtId="178" fontId="6" fillId="32" borderId="12" xfId="0" applyNumberFormat="1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2" xfId="34" applyFont="1" applyFill="1" applyBorder="1" applyAlignment="1">
      <alignment horizontal="left" vertical="center" wrapText="1"/>
    </xf>
    <xf numFmtId="0" fontId="6" fillId="32" borderId="38" xfId="0" applyFont="1" applyFill="1" applyBorder="1" applyAlignment="1">
      <alignment horizontal="center" vertical="center" textRotation="90"/>
    </xf>
    <xf numFmtId="0" fontId="6" fillId="32" borderId="21" xfId="0" applyFont="1" applyFill="1" applyBorder="1" applyAlignment="1">
      <alignment horizontal="center" vertical="center" textRotation="90" wrapText="1"/>
    </xf>
    <xf numFmtId="0" fontId="7" fillId="32" borderId="37" xfId="0" applyFont="1" applyFill="1" applyBorder="1" applyAlignment="1">
      <alignment horizontal="center" vertical="center" textRotation="90"/>
    </xf>
    <xf numFmtId="0" fontId="7" fillId="32" borderId="38" xfId="0" applyFont="1" applyFill="1" applyBorder="1" applyAlignment="1">
      <alignment horizontal="center" vertical="center" textRotation="90"/>
    </xf>
    <xf numFmtId="0" fontId="7" fillId="32" borderId="21" xfId="0" applyFont="1" applyFill="1" applyBorder="1" applyAlignment="1">
      <alignment horizontal="center" vertical="center" textRotation="90" wrapText="1"/>
    </xf>
    <xf numFmtId="0" fontId="7" fillId="32" borderId="37" xfId="0" applyFont="1" applyFill="1" applyBorder="1" applyAlignment="1">
      <alignment horizontal="center" vertical="center" textRotation="90" wrapText="1"/>
    </xf>
    <xf numFmtId="0" fontId="7" fillId="32" borderId="38" xfId="0" applyFont="1" applyFill="1" applyBorder="1" applyAlignment="1">
      <alignment horizontal="center" vertical="center" textRotation="90" wrapText="1"/>
    </xf>
    <xf numFmtId="0" fontId="6" fillId="32" borderId="12" xfId="0" applyFont="1" applyFill="1" applyBorder="1" applyAlignment="1">
      <alignment horizontal="left" vertical="center" textRotation="90"/>
    </xf>
    <xf numFmtId="0" fontId="6" fillId="32" borderId="12" xfId="0" applyFont="1" applyFill="1" applyBorder="1" applyAlignment="1">
      <alignment horizontal="left" vertical="center" textRotation="90" wrapText="1"/>
    </xf>
    <xf numFmtId="0" fontId="6" fillId="32" borderId="21" xfId="0" applyFont="1" applyFill="1" applyBorder="1" applyAlignment="1">
      <alignment horizontal="center" vertical="top" textRotation="90" wrapText="1"/>
    </xf>
    <xf numFmtId="0" fontId="6" fillId="32" borderId="37" xfId="0" applyFont="1" applyFill="1" applyBorder="1" applyAlignment="1">
      <alignment horizontal="center" vertical="top" textRotation="90"/>
    </xf>
    <xf numFmtId="0" fontId="6" fillId="32" borderId="38" xfId="0" applyFont="1" applyFill="1" applyBorder="1" applyAlignment="1">
      <alignment horizontal="center" vertical="top" textRotation="90"/>
    </xf>
    <xf numFmtId="0" fontId="6" fillId="32" borderId="12" xfId="0" applyFont="1" applyFill="1" applyBorder="1" applyAlignment="1">
      <alignment horizontal="center" vertical="top" textRotation="90" wrapText="1"/>
    </xf>
    <xf numFmtId="0" fontId="6" fillId="32" borderId="21" xfId="0" applyFont="1" applyFill="1" applyBorder="1" applyAlignment="1">
      <alignment horizontal="center" vertical="top" textRotation="90"/>
    </xf>
    <xf numFmtId="0" fontId="6" fillId="0" borderId="30" xfId="0" applyNumberFormat="1" applyFont="1" applyBorder="1" applyAlignment="1">
      <alignment horizontal="center" vertical="center" textRotation="90" wrapText="1"/>
    </xf>
    <xf numFmtId="0" fontId="6" fillId="0" borderId="12" xfId="0" applyNumberFormat="1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8" fontId="6" fillId="0" borderId="12" xfId="0" applyNumberFormat="1" applyFont="1" applyBorder="1" applyAlignment="1">
      <alignment horizontal="center" vertical="center"/>
    </xf>
    <xf numFmtId="178" fontId="10" fillId="0" borderId="12" xfId="0" applyNumberFormat="1" applyFont="1" applyBorder="1" applyAlignment="1">
      <alignment horizontal="left" vertical="center" wrapText="1"/>
    </xf>
    <xf numFmtId="178" fontId="10" fillId="0" borderId="12" xfId="0" applyNumberFormat="1" applyFont="1" applyBorder="1" applyAlignment="1">
      <alignment horizontal="center" vertical="center"/>
    </xf>
    <xf numFmtId="190" fontId="6" fillId="0" borderId="12" xfId="0" applyNumberFormat="1" applyFont="1" applyBorder="1" applyAlignment="1">
      <alignment horizontal="right" vertical="center" wrapText="1"/>
    </xf>
    <xf numFmtId="190" fontId="10" fillId="0" borderId="12" xfId="0" applyNumberFormat="1" applyFont="1" applyBorder="1" applyAlignment="1">
      <alignment horizontal="center" vertical="center"/>
    </xf>
    <xf numFmtId="190" fontId="0" fillId="0" borderId="13" xfId="0" applyNumberFormat="1" applyFont="1" applyBorder="1" applyAlignment="1">
      <alignment vertical="center"/>
    </xf>
    <xf numFmtId="19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178" fontId="6" fillId="0" borderId="12" xfId="0" applyNumberFormat="1" applyFont="1" applyBorder="1" applyAlignment="1">
      <alignment horizontal="center" vertical="top"/>
    </xf>
    <xf numFmtId="178" fontId="6" fillId="0" borderId="12" xfId="0" applyNumberFormat="1" applyFont="1" applyBorder="1" applyAlignment="1">
      <alignment horizontal="left" vertical="top" wrapText="1"/>
    </xf>
    <xf numFmtId="190" fontId="6" fillId="0" borderId="12" xfId="0" applyNumberFormat="1" applyFont="1" applyBorder="1" applyAlignment="1">
      <alignment horizontal="right" vertical="center"/>
    </xf>
    <xf numFmtId="190" fontId="6" fillId="0" borderId="12" xfId="0" applyNumberFormat="1" applyFont="1" applyBorder="1" applyAlignment="1">
      <alignment horizontal="center" vertical="top"/>
    </xf>
    <xf numFmtId="190" fontId="0" fillId="0" borderId="13" xfId="0" applyNumberFormat="1" applyFont="1" applyBorder="1" applyAlignment="1">
      <alignment/>
    </xf>
    <xf numFmtId="19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11" xfId="0" applyNumberFormat="1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horizontal="left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2" xfId="33"/>
    <cellStyle name="left_arm10_BordWW_900" xfId="34"/>
    <cellStyle name="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7"/>
  <sheetViews>
    <sheetView zoomScale="120" zoomScaleNormal="120" zoomScalePageLayoutView="0" workbookViewId="0" topLeftCell="A104">
      <selection activeCell="A106" sqref="A106:IV106"/>
    </sheetView>
  </sheetViews>
  <sheetFormatPr defaultColWidth="9.140625" defaultRowHeight="12"/>
  <cols>
    <col min="1" max="1" width="4.7109375" style="139" customWidth="1"/>
    <col min="2" max="2" width="38.7109375" style="140" customWidth="1"/>
    <col min="3" max="3" width="5.7109375" style="139" customWidth="1"/>
    <col min="4" max="8" width="10.8515625" style="139" customWidth="1"/>
    <col min="9" max="9" width="8.140625" style="139" customWidth="1"/>
    <col min="10" max="11" width="10.8515625" style="69" customWidth="1"/>
    <col min="12" max="12" width="9.28125" style="69" customWidth="1"/>
    <col min="13" max="14" width="10.8515625" style="69" customWidth="1"/>
    <col min="15" max="15" width="9.421875" style="69" customWidth="1"/>
    <col min="16" max="20" width="10.8515625" style="69" customWidth="1"/>
    <col min="21" max="21" width="9.421875" style="69" customWidth="1"/>
    <col min="22" max="22" width="19.140625" style="177" customWidth="1"/>
    <col min="23" max="23" width="9.28125" style="141" customWidth="1"/>
    <col min="24" max="24" width="9.7109375" style="141" bestFit="1" customWidth="1"/>
    <col min="25" max="16384" width="9.28125" style="141" customWidth="1"/>
  </cols>
  <sheetData>
    <row r="1" spans="1:22" s="138" customFormat="1" ht="66.75" customHeight="1">
      <c r="A1" s="136"/>
      <c r="B1" s="137"/>
      <c r="C1" s="136"/>
      <c r="D1" s="136"/>
      <c r="E1" s="136"/>
      <c r="F1" s="136"/>
      <c r="G1" s="136"/>
      <c r="H1" s="136"/>
      <c r="I1" s="136"/>
      <c r="J1" s="84"/>
      <c r="K1" s="84"/>
      <c r="L1" s="85"/>
      <c r="M1" s="85"/>
      <c r="N1" s="85"/>
      <c r="O1" s="85"/>
      <c r="P1" s="84"/>
      <c r="Q1" s="84"/>
      <c r="R1" s="85"/>
      <c r="S1" s="84"/>
      <c r="T1" s="200" t="s">
        <v>739</v>
      </c>
      <c r="U1" s="200"/>
      <c r="V1" s="200"/>
    </row>
    <row r="2" spans="12:22" ht="20.25" customHeight="1">
      <c r="L2" s="70"/>
      <c r="M2" s="70"/>
      <c r="N2" s="70"/>
      <c r="O2" s="70"/>
      <c r="R2" s="70"/>
      <c r="U2" s="86"/>
      <c r="V2" s="176"/>
    </row>
    <row r="3" spans="1:21" ht="1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</row>
    <row r="4" spans="1:21" ht="27" customHeight="1">
      <c r="A4" s="202" t="s">
        <v>759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</row>
    <row r="5" spans="19:22" ht="21" customHeight="1" thickBot="1">
      <c r="S5" s="77"/>
      <c r="V5" s="178" t="s">
        <v>745</v>
      </c>
    </row>
    <row r="6" spans="1:22" ht="21.75" customHeight="1">
      <c r="A6" s="192" t="s">
        <v>1</v>
      </c>
      <c r="B6" s="190" t="s">
        <v>2</v>
      </c>
      <c r="C6" s="186" t="s">
        <v>3</v>
      </c>
      <c r="D6" s="188" t="s">
        <v>600</v>
      </c>
      <c r="E6" s="188"/>
      <c r="F6" s="188"/>
      <c r="G6" s="188" t="s">
        <v>601</v>
      </c>
      <c r="H6" s="188"/>
      <c r="I6" s="188"/>
      <c r="J6" s="188" t="s">
        <v>183</v>
      </c>
      <c r="K6" s="188"/>
      <c r="L6" s="188"/>
      <c r="M6" s="189" t="s">
        <v>602</v>
      </c>
      <c r="N6" s="189"/>
      <c r="O6" s="189"/>
      <c r="P6" s="188" t="s">
        <v>184</v>
      </c>
      <c r="Q6" s="188"/>
      <c r="R6" s="188"/>
      <c r="S6" s="188" t="s">
        <v>185</v>
      </c>
      <c r="T6" s="188"/>
      <c r="U6" s="188"/>
      <c r="V6" s="175" t="s">
        <v>603</v>
      </c>
    </row>
    <row r="7" spans="1:22" ht="21" customHeight="1">
      <c r="A7" s="193"/>
      <c r="B7" s="191"/>
      <c r="C7" s="187"/>
      <c r="D7" s="185" t="s">
        <v>4</v>
      </c>
      <c r="E7" s="185" t="s">
        <v>5</v>
      </c>
      <c r="F7" s="185"/>
      <c r="G7" s="185" t="s">
        <v>4</v>
      </c>
      <c r="H7" s="185" t="s">
        <v>5</v>
      </c>
      <c r="I7" s="185"/>
      <c r="J7" s="185" t="s">
        <v>4</v>
      </c>
      <c r="K7" s="185" t="s">
        <v>5</v>
      </c>
      <c r="L7" s="185"/>
      <c r="M7" s="185" t="s">
        <v>4</v>
      </c>
      <c r="N7" s="185" t="s">
        <v>5</v>
      </c>
      <c r="O7" s="185"/>
      <c r="P7" s="185" t="s">
        <v>4</v>
      </c>
      <c r="Q7" s="185" t="s">
        <v>5</v>
      </c>
      <c r="R7" s="185"/>
      <c r="S7" s="185" t="s">
        <v>4</v>
      </c>
      <c r="T7" s="185" t="s">
        <v>5</v>
      </c>
      <c r="U7" s="185"/>
      <c r="V7" s="201" t="s">
        <v>604</v>
      </c>
    </row>
    <row r="8" spans="1:22" ht="33" customHeight="1">
      <c r="A8" s="193"/>
      <c r="B8" s="191"/>
      <c r="C8" s="187"/>
      <c r="D8" s="185"/>
      <c r="E8" s="89" t="s">
        <v>6</v>
      </c>
      <c r="F8" s="89" t="s">
        <v>7</v>
      </c>
      <c r="G8" s="185"/>
      <c r="H8" s="89" t="s">
        <v>6</v>
      </c>
      <c r="I8" s="89" t="s">
        <v>7</v>
      </c>
      <c r="J8" s="185"/>
      <c r="K8" s="89" t="s">
        <v>6</v>
      </c>
      <c r="L8" s="89" t="s">
        <v>7</v>
      </c>
      <c r="M8" s="185"/>
      <c r="N8" s="89" t="s">
        <v>6</v>
      </c>
      <c r="O8" s="89" t="s">
        <v>7</v>
      </c>
      <c r="P8" s="185"/>
      <c r="Q8" s="89" t="s">
        <v>6</v>
      </c>
      <c r="R8" s="89" t="s">
        <v>7</v>
      </c>
      <c r="S8" s="185"/>
      <c r="T8" s="89" t="s">
        <v>6</v>
      </c>
      <c r="U8" s="89" t="s">
        <v>7</v>
      </c>
      <c r="V8" s="201"/>
    </row>
    <row r="9" spans="1:22" s="144" customFormat="1" ht="23.25" customHeight="1" thickBot="1">
      <c r="A9" s="142">
        <v>1</v>
      </c>
      <c r="B9" s="88">
        <v>2</v>
      </c>
      <c r="C9" s="88">
        <v>3</v>
      </c>
      <c r="D9" s="143">
        <v>4</v>
      </c>
      <c r="E9" s="88">
        <v>5</v>
      </c>
      <c r="F9" s="88">
        <v>6</v>
      </c>
      <c r="G9" s="88">
        <v>7</v>
      </c>
      <c r="H9" s="88">
        <v>8</v>
      </c>
      <c r="I9" s="88">
        <v>9</v>
      </c>
      <c r="J9" s="88">
        <v>10</v>
      </c>
      <c r="K9" s="88">
        <v>11</v>
      </c>
      <c r="L9" s="88">
        <v>12</v>
      </c>
      <c r="M9" s="88">
        <v>13</v>
      </c>
      <c r="N9" s="88">
        <v>14</v>
      </c>
      <c r="O9" s="88">
        <v>15</v>
      </c>
      <c r="P9" s="88">
        <v>16</v>
      </c>
      <c r="Q9" s="88">
        <v>17</v>
      </c>
      <c r="R9" s="88">
        <v>18</v>
      </c>
      <c r="S9" s="88">
        <v>19</v>
      </c>
      <c r="T9" s="88">
        <v>20</v>
      </c>
      <c r="U9" s="88">
        <v>21</v>
      </c>
      <c r="V9" s="179">
        <v>22</v>
      </c>
    </row>
    <row r="10" spans="1:24" s="160" customFormat="1" ht="12.75">
      <c r="A10" s="154" t="s">
        <v>8</v>
      </c>
      <c r="B10" s="145" t="s">
        <v>9</v>
      </c>
      <c r="C10" s="155" t="s">
        <v>10</v>
      </c>
      <c r="D10" s="156">
        <f>+E10+F10-59064.2</f>
        <v>3694142.4709999994</v>
      </c>
      <c r="E10" s="157">
        <f>+E12+E46+E63</f>
        <v>3179153.55</v>
      </c>
      <c r="F10" s="158">
        <f>+F12+F46+F63</f>
        <v>574053.1209999999</v>
      </c>
      <c r="G10" s="158">
        <f>+H10+I10</f>
        <v>3150000</v>
      </c>
      <c r="H10" s="158">
        <f>+H12+H46+H63</f>
        <v>3150000</v>
      </c>
      <c r="I10" s="158">
        <f>+I12+I46+I63</f>
        <v>0</v>
      </c>
      <c r="J10" s="158">
        <f aca="true" t="shared" si="0" ref="J10:J41">+K10+L10</f>
        <v>3810000</v>
      </c>
      <c r="K10" s="158">
        <f>+K12+K46+K63</f>
        <v>3310000</v>
      </c>
      <c r="L10" s="158">
        <f>+L12+L46+L63</f>
        <v>500000</v>
      </c>
      <c r="M10" s="158">
        <f aca="true" t="shared" si="1" ref="M10:M41">+J10-G10</f>
        <v>660000</v>
      </c>
      <c r="N10" s="158">
        <f aca="true" t="shared" si="2" ref="N10:N41">+K10-H10</f>
        <v>160000</v>
      </c>
      <c r="O10" s="158">
        <f aca="true" t="shared" si="3" ref="O10:O41">+L10-I10</f>
        <v>500000</v>
      </c>
      <c r="P10" s="158">
        <f>+Q10+R10</f>
        <v>3655942.2</v>
      </c>
      <c r="Q10" s="158">
        <f>+Q12+Q46+Q63</f>
        <v>3155942.2</v>
      </c>
      <c r="R10" s="158">
        <f>+R12+R46+R63</f>
        <v>500000</v>
      </c>
      <c r="S10" s="158">
        <f>+T10+U10</f>
        <v>3534096.5</v>
      </c>
      <c r="T10" s="158">
        <f>+T12+T46+T63</f>
        <v>3034096.5</v>
      </c>
      <c r="U10" s="158">
        <f>+U12+U46+U63</f>
        <v>500000</v>
      </c>
      <c r="V10" s="180"/>
      <c r="W10" s="159"/>
      <c r="X10" s="159"/>
    </row>
    <row r="11" spans="1:24" s="167" customFormat="1" ht="12.75">
      <c r="A11" s="161"/>
      <c r="B11" s="146" t="s">
        <v>5</v>
      </c>
      <c r="C11" s="162"/>
      <c r="D11" s="163">
        <f aca="true" t="shared" si="4" ref="D11:D42">+E11+F11</f>
        <v>0</v>
      </c>
      <c r="E11" s="164"/>
      <c r="F11" s="165"/>
      <c r="G11" s="158"/>
      <c r="H11" s="165"/>
      <c r="I11" s="165"/>
      <c r="J11" s="158">
        <f t="shared" si="0"/>
        <v>0</v>
      </c>
      <c r="K11" s="165"/>
      <c r="L11" s="165"/>
      <c r="M11" s="158">
        <f t="shared" si="1"/>
        <v>0</v>
      </c>
      <c r="N11" s="158">
        <f t="shared" si="2"/>
        <v>0</v>
      </c>
      <c r="O11" s="158">
        <f t="shared" si="3"/>
        <v>0</v>
      </c>
      <c r="P11" s="158">
        <f aca="true" t="shared" si="5" ref="P11:P74">+Q11+R11</f>
        <v>0</v>
      </c>
      <c r="Q11" s="165"/>
      <c r="R11" s="165"/>
      <c r="S11" s="158">
        <f aca="true" t="shared" si="6" ref="S11:S74">+T11+U11</f>
        <v>0</v>
      </c>
      <c r="T11" s="165"/>
      <c r="U11" s="165"/>
      <c r="V11" s="180"/>
      <c r="W11" s="166"/>
      <c r="X11" s="166"/>
    </row>
    <row r="12" spans="1:24" s="160" customFormat="1" ht="42">
      <c r="A12" s="154" t="s">
        <v>11</v>
      </c>
      <c r="B12" s="145" t="s">
        <v>12</v>
      </c>
      <c r="C12" s="155" t="s">
        <v>13</v>
      </c>
      <c r="D12" s="163">
        <f t="shared" si="4"/>
        <v>951810.15</v>
      </c>
      <c r="E12" s="157">
        <f>+E14+E19+E22+E42</f>
        <v>951810.15</v>
      </c>
      <c r="F12" s="158">
        <f>+F14+F19+F22+F42</f>
        <v>0</v>
      </c>
      <c r="G12" s="158">
        <f>+H12+I12</f>
        <v>937401.5</v>
      </c>
      <c r="H12" s="158">
        <f>+H14+H19+H22+H42</f>
        <v>937401.5</v>
      </c>
      <c r="I12" s="158">
        <f>+I14+I19+I22+I42</f>
        <v>0</v>
      </c>
      <c r="J12" s="158">
        <f t="shared" si="0"/>
        <v>995475.4</v>
      </c>
      <c r="K12" s="158">
        <f>+K14+K19+K22+K42</f>
        <v>995475.4</v>
      </c>
      <c r="L12" s="158">
        <f>+L14+L19+L22+L42</f>
        <v>0</v>
      </c>
      <c r="M12" s="158">
        <f t="shared" si="1"/>
        <v>58073.90000000002</v>
      </c>
      <c r="N12" s="158">
        <f t="shared" si="2"/>
        <v>58073.90000000002</v>
      </c>
      <c r="O12" s="158">
        <f t="shared" si="3"/>
        <v>0</v>
      </c>
      <c r="P12" s="158">
        <f t="shared" si="5"/>
        <v>1006530</v>
      </c>
      <c r="Q12" s="158">
        <f>+Q14+Q19+Q22+Q42</f>
        <v>1006530</v>
      </c>
      <c r="R12" s="158">
        <f>+R14+R19+R22+R42</f>
        <v>0</v>
      </c>
      <c r="S12" s="158">
        <f t="shared" si="6"/>
        <v>1035815.4</v>
      </c>
      <c r="T12" s="158">
        <f>+T14+T19+T22+T42</f>
        <v>1035815.4</v>
      </c>
      <c r="U12" s="158">
        <f>+U14+U19+U22+U42</f>
        <v>0</v>
      </c>
      <c r="V12" s="197" t="s">
        <v>741</v>
      </c>
      <c r="W12" s="159"/>
      <c r="X12" s="159"/>
    </row>
    <row r="13" spans="1:24" s="167" customFormat="1" ht="12.75" customHeight="1">
      <c r="A13" s="161"/>
      <c r="B13" s="146" t="s">
        <v>5</v>
      </c>
      <c r="C13" s="162"/>
      <c r="D13" s="163">
        <f t="shared" si="4"/>
        <v>0</v>
      </c>
      <c r="E13" s="164"/>
      <c r="F13" s="165"/>
      <c r="G13" s="158"/>
      <c r="H13" s="165"/>
      <c r="I13" s="165"/>
      <c r="J13" s="158">
        <f t="shared" si="0"/>
        <v>0</v>
      </c>
      <c r="K13" s="165"/>
      <c r="L13" s="165"/>
      <c r="M13" s="158">
        <f t="shared" si="1"/>
        <v>0</v>
      </c>
      <c r="N13" s="158">
        <f t="shared" si="2"/>
        <v>0</v>
      </c>
      <c r="O13" s="158">
        <f t="shared" si="3"/>
        <v>0</v>
      </c>
      <c r="P13" s="158">
        <f t="shared" si="5"/>
        <v>0</v>
      </c>
      <c r="Q13" s="165"/>
      <c r="R13" s="165"/>
      <c r="S13" s="158">
        <f t="shared" si="6"/>
        <v>0</v>
      </c>
      <c r="T13" s="165"/>
      <c r="U13" s="165"/>
      <c r="V13" s="198"/>
      <c r="W13" s="166"/>
      <c r="X13" s="166"/>
    </row>
    <row r="14" spans="1:24" s="160" customFormat="1" ht="42" customHeight="1">
      <c r="A14" s="154" t="s">
        <v>14</v>
      </c>
      <c r="B14" s="145" t="s">
        <v>15</v>
      </c>
      <c r="C14" s="155" t="s">
        <v>16</v>
      </c>
      <c r="D14" s="163">
        <f t="shared" si="4"/>
        <v>304658.28</v>
      </c>
      <c r="E14" s="157">
        <f>+E16+E17+E18</f>
        <v>304658.28</v>
      </c>
      <c r="F14" s="158">
        <f>+F16+F17+F18</f>
        <v>0</v>
      </c>
      <c r="G14" s="158">
        <f>+H14+I14</f>
        <v>302600.5</v>
      </c>
      <c r="H14" s="158">
        <f>+H16+H17+H18</f>
        <v>302600.5</v>
      </c>
      <c r="I14" s="158">
        <f>+I16+I17+I18</f>
        <v>0</v>
      </c>
      <c r="J14" s="158">
        <f t="shared" si="0"/>
        <v>304285.4</v>
      </c>
      <c r="K14" s="158">
        <f>+K16+K17+K18</f>
        <v>304285.4</v>
      </c>
      <c r="L14" s="158">
        <f>+L16+L17+L18</f>
        <v>0</v>
      </c>
      <c r="M14" s="158">
        <f t="shared" si="1"/>
        <v>1684.9000000000233</v>
      </c>
      <c r="N14" s="158">
        <f t="shared" si="2"/>
        <v>1684.9000000000233</v>
      </c>
      <c r="O14" s="158">
        <f t="shared" si="3"/>
        <v>0</v>
      </c>
      <c r="P14" s="158">
        <f t="shared" si="5"/>
        <v>310000</v>
      </c>
      <c r="Q14" s="158">
        <f>+Q16+Q17+Q18</f>
        <v>310000</v>
      </c>
      <c r="R14" s="158">
        <f>+R16+R17+R18</f>
        <v>0</v>
      </c>
      <c r="S14" s="158">
        <f t="shared" si="6"/>
        <v>324285.4</v>
      </c>
      <c r="T14" s="158">
        <f>+T16+T17+T18</f>
        <v>324285.4</v>
      </c>
      <c r="U14" s="158">
        <f>+U16+U17+U18</f>
        <v>0</v>
      </c>
      <c r="V14" s="198"/>
      <c r="W14" s="159"/>
      <c r="X14" s="159"/>
    </row>
    <row r="15" spans="1:24" s="167" customFormat="1" ht="10.5" customHeight="1">
      <c r="A15" s="161"/>
      <c r="B15" s="146" t="s">
        <v>5</v>
      </c>
      <c r="C15" s="162"/>
      <c r="D15" s="163">
        <f t="shared" si="4"/>
        <v>0</v>
      </c>
      <c r="E15" s="164"/>
      <c r="F15" s="165"/>
      <c r="G15" s="158"/>
      <c r="H15" s="165"/>
      <c r="I15" s="165"/>
      <c r="J15" s="158">
        <f t="shared" si="0"/>
        <v>0</v>
      </c>
      <c r="K15" s="165"/>
      <c r="L15" s="165"/>
      <c r="M15" s="158">
        <f t="shared" si="1"/>
        <v>0</v>
      </c>
      <c r="N15" s="158">
        <f t="shared" si="2"/>
        <v>0</v>
      </c>
      <c r="O15" s="158">
        <f t="shared" si="3"/>
        <v>0</v>
      </c>
      <c r="P15" s="158">
        <f t="shared" si="5"/>
        <v>0</v>
      </c>
      <c r="Q15" s="165"/>
      <c r="R15" s="165"/>
      <c r="S15" s="158">
        <f t="shared" si="6"/>
        <v>0</v>
      </c>
      <c r="T15" s="165"/>
      <c r="U15" s="165"/>
      <c r="V15" s="198"/>
      <c r="W15" s="166"/>
      <c r="X15" s="166"/>
    </row>
    <row r="16" spans="1:24" s="160" customFormat="1" ht="31.5">
      <c r="A16" s="168" t="s">
        <v>17</v>
      </c>
      <c r="B16" s="148" t="s">
        <v>18</v>
      </c>
      <c r="C16" s="169" t="s">
        <v>10</v>
      </c>
      <c r="D16" s="163">
        <f t="shared" si="4"/>
        <v>94745.28</v>
      </c>
      <c r="E16" s="164">
        <v>94745.28</v>
      </c>
      <c r="F16" s="165"/>
      <c r="G16" s="158">
        <f aca="true" t="shared" si="7" ref="G16:G56">+H16+I16</f>
        <v>88900</v>
      </c>
      <c r="H16" s="165">
        <v>88900</v>
      </c>
      <c r="I16" s="165"/>
      <c r="J16" s="158">
        <f t="shared" si="0"/>
        <v>79285.4</v>
      </c>
      <c r="K16" s="165">
        <v>79285.4</v>
      </c>
      <c r="L16" s="165"/>
      <c r="M16" s="165">
        <f t="shared" si="1"/>
        <v>-9614.600000000006</v>
      </c>
      <c r="N16" s="165">
        <f t="shared" si="2"/>
        <v>-9614.600000000006</v>
      </c>
      <c r="O16" s="165">
        <f t="shared" si="3"/>
        <v>0</v>
      </c>
      <c r="P16" s="158">
        <f t="shared" si="5"/>
        <v>80000</v>
      </c>
      <c r="Q16" s="165">
        <v>80000</v>
      </c>
      <c r="R16" s="165"/>
      <c r="S16" s="158">
        <f t="shared" si="6"/>
        <v>79285.4</v>
      </c>
      <c r="T16" s="165">
        <v>79285.4</v>
      </c>
      <c r="U16" s="165"/>
      <c r="V16" s="198"/>
      <c r="W16" s="159"/>
      <c r="X16" s="159"/>
    </row>
    <row r="17" spans="1:24" s="160" customFormat="1" ht="21">
      <c r="A17" s="168" t="s">
        <v>19</v>
      </c>
      <c r="B17" s="148" t="s">
        <v>20</v>
      </c>
      <c r="C17" s="169" t="s">
        <v>10</v>
      </c>
      <c r="D17" s="163">
        <f t="shared" si="4"/>
        <v>33140.6</v>
      </c>
      <c r="E17" s="164">
        <v>33140.6</v>
      </c>
      <c r="F17" s="165"/>
      <c r="G17" s="158">
        <f t="shared" si="7"/>
        <v>34300.5</v>
      </c>
      <c r="H17" s="165">
        <v>34300.5</v>
      </c>
      <c r="I17" s="165"/>
      <c r="J17" s="158">
        <f t="shared" si="0"/>
        <v>35000</v>
      </c>
      <c r="K17" s="165">
        <v>35000</v>
      </c>
      <c r="L17" s="165"/>
      <c r="M17" s="165">
        <f t="shared" si="1"/>
        <v>699.5</v>
      </c>
      <c r="N17" s="165">
        <f t="shared" si="2"/>
        <v>699.5</v>
      </c>
      <c r="O17" s="165">
        <f t="shared" si="3"/>
        <v>0</v>
      </c>
      <c r="P17" s="158">
        <f t="shared" si="5"/>
        <v>30000</v>
      </c>
      <c r="Q17" s="165">
        <v>30000</v>
      </c>
      <c r="R17" s="165"/>
      <c r="S17" s="158">
        <f t="shared" si="6"/>
        <v>35000</v>
      </c>
      <c r="T17" s="165">
        <v>35000</v>
      </c>
      <c r="U17" s="165"/>
      <c r="V17" s="198"/>
      <c r="W17" s="159"/>
      <c r="X17" s="159"/>
    </row>
    <row r="18" spans="1:24" s="160" customFormat="1" ht="21">
      <c r="A18" s="168" t="s">
        <v>21</v>
      </c>
      <c r="B18" s="148" t="s">
        <v>22</v>
      </c>
      <c r="C18" s="169" t="s">
        <v>10</v>
      </c>
      <c r="D18" s="163">
        <f t="shared" si="4"/>
        <v>176772.4</v>
      </c>
      <c r="E18" s="164">
        <v>176772.4</v>
      </c>
      <c r="F18" s="165"/>
      <c r="G18" s="158">
        <f t="shared" si="7"/>
        <v>179400</v>
      </c>
      <c r="H18" s="165">
        <v>179400</v>
      </c>
      <c r="I18" s="165"/>
      <c r="J18" s="158">
        <f t="shared" si="0"/>
        <v>190000</v>
      </c>
      <c r="K18" s="165">
        <v>190000</v>
      </c>
      <c r="L18" s="165"/>
      <c r="M18" s="165">
        <f t="shared" si="1"/>
        <v>10600</v>
      </c>
      <c r="N18" s="165">
        <f t="shared" si="2"/>
        <v>10600</v>
      </c>
      <c r="O18" s="165">
        <f t="shared" si="3"/>
        <v>0</v>
      </c>
      <c r="P18" s="158">
        <f t="shared" si="5"/>
        <v>200000</v>
      </c>
      <c r="Q18" s="165">
        <v>200000</v>
      </c>
      <c r="R18" s="165"/>
      <c r="S18" s="158">
        <f t="shared" si="6"/>
        <v>210000</v>
      </c>
      <c r="T18" s="165">
        <v>210000</v>
      </c>
      <c r="U18" s="165"/>
      <c r="V18" s="198"/>
      <c r="W18" s="159"/>
      <c r="X18" s="159"/>
    </row>
    <row r="19" spans="1:24" s="160" customFormat="1" ht="10.5" customHeight="1">
      <c r="A19" s="154" t="s">
        <v>23</v>
      </c>
      <c r="B19" s="145" t="s">
        <v>24</v>
      </c>
      <c r="C19" s="155" t="s">
        <v>25</v>
      </c>
      <c r="D19" s="163">
        <f t="shared" si="4"/>
        <v>522759.7</v>
      </c>
      <c r="E19" s="158">
        <f>+E21</f>
        <v>522759.7</v>
      </c>
      <c r="F19" s="158">
        <f>+F21</f>
        <v>0</v>
      </c>
      <c r="G19" s="158">
        <f t="shared" si="7"/>
        <v>506461</v>
      </c>
      <c r="H19" s="158">
        <f>+H21</f>
        <v>506461</v>
      </c>
      <c r="I19" s="158">
        <f>+I21</f>
        <v>0</v>
      </c>
      <c r="J19" s="158">
        <f t="shared" si="0"/>
        <v>539660</v>
      </c>
      <c r="K19" s="158">
        <f>+K21</f>
        <v>539660</v>
      </c>
      <c r="L19" s="158">
        <f>+L21</f>
        <v>0</v>
      </c>
      <c r="M19" s="158">
        <f t="shared" si="1"/>
        <v>33199</v>
      </c>
      <c r="N19" s="158">
        <f t="shared" si="2"/>
        <v>33199</v>
      </c>
      <c r="O19" s="158">
        <f t="shared" si="3"/>
        <v>0</v>
      </c>
      <c r="P19" s="158">
        <f t="shared" si="5"/>
        <v>545000</v>
      </c>
      <c r="Q19" s="158">
        <f>+Q21</f>
        <v>545000</v>
      </c>
      <c r="R19" s="158">
        <f>+R21</f>
        <v>0</v>
      </c>
      <c r="S19" s="158">
        <f t="shared" si="6"/>
        <v>560000</v>
      </c>
      <c r="T19" s="158">
        <f>+T21</f>
        <v>560000</v>
      </c>
      <c r="U19" s="158">
        <f>+U21</f>
        <v>0</v>
      </c>
      <c r="V19" s="198"/>
      <c r="W19" s="159"/>
      <c r="X19" s="159"/>
    </row>
    <row r="20" spans="1:24" s="167" customFormat="1" ht="18" customHeight="1">
      <c r="A20" s="161"/>
      <c r="B20" s="146" t="s">
        <v>5</v>
      </c>
      <c r="C20" s="162"/>
      <c r="D20" s="163">
        <f t="shared" si="4"/>
        <v>0</v>
      </c>
      <c r="E20" s="164"/>
      <c r="F20" s="165"/>
      <c r="G20" s="158">
        <f t="shared" si="7"/>
        <v>0</v>
      </c>
      <c r="H20" s="165"/>
      <c r="I20" s="165"/>
      <c r="J20" s="158">
        <f t="shared" si="0"/>
        <v>0</v>
      </c>
      <c r="K20" s="165"/>
      <c r="L20" s="165"/>
      <c r="M20" s="158">
        <f t="shared" si="1"/>
        <v>0</v>
      </c>
      <c r="N20" s="158">
        <f t="shared" si="2"/>
        <v>0</v>
      </c>
      <c r="O20" s="158">
        <f t="shared" si="3"/>
        <v>0</v>
      </c>
      <c r="P20" s="158">
        <f t="shared" si="5"/>
        <v>0</v>
      </c>
      <c r="Q20" s="165"/>
      <c r="R20" s="165"/>
      <c r="S20" s="158">
        <f t="shared" si="6"/>
        <v>0</v>
      </c>
      <c r="T20" s="165"/>
      <c r="U20" s="165"/>
      <c r="V20" s="198"/>
      <c r="W20" s="166"/>
      <c r="X20" s="166"/>
    </row>
    <row r="21" spans="1:24" s="160" customFormat="1" ht="18" customHeight="1">
      <c r="A21" s="168" t="s">
        <v>26</v>
      </c>
      <c r="B21" s="148" t="s">
        <v>27</v>
      </c>
      <c r="C21" s="169" t="s">
        <v>10</v>
      </c>
      <c r="D21" s="163">
        <f t="shared" si="4"/>
        <v>522759.7</v>
      </c>
      <c r="E21" s="164">
        <v>522759.7</v>
      </c>
      <c r="F21" s="165"/>
      <c r="G21" s="158">
        <f t="shared" si="7"/>
        <v>506461</v>
      </c>
      <c r="H21" s="165">
        <f>29461+477000</f>
        <v>506461</v>
      </c>
      <c r="I21" s="165"/>
      <c r="J21" s="158">
        <f t="shared" si="0"/>
        <v>539660</v>
      </c>
      <c r="K21" s="165">
        <v>539660</v>
      </c>
      <c r="L21" s="165"/>
      <c r="M21" s="158">
        <f t="shared" si="1"/>
        <v>33199</v>
      </c>
      <c r="N21" s="158">
        <f t="shared" si="2"/>
        <v>33199</v>
      </c>
      <c r="O21" s="158">
        <f t="shared" si="3"/>
        <v>0</v>
      </c>
      <c r="P21" s="158">
        <f t="shared" si="5"/>
        <v>545000</v>
      </c>
      <c r="Q21" s="165">
        <v>545000</v>
      </c>
      <c r="R21" s="165"/>
      <c r="S21" s="158">
        <f t="shared" si="6"/>
        <v>560000</v>
      </c>
      <c r="T21" s="165">
        <v>560000</v>
      </c>
      <c r="U21" s="165"/>
      <c r="V21" s="199"/>
      <c r="W21" s="159"/>
      <c r="X21" s="159"/>
    </row>
    <row r="22" spans="1:24" s="160" customFormat="1" ht="94.5">
      <c r="A22" s="154" t="s">
        <v>28</v>
      </c>
      <c r="B22" s="145" t="s">
        <v>29</v>
      </c>
      <c r="C22" s="155" t="s">
        <v>30</v>
      </c>
      <c r="D22" s="163">
        <f t="shared" si="4"/>
        <v>73922.27</v>
      </c>
      <c r="E22" s="157">
        <f>+E24+E25+E26+E27+E28+E30+E29+E31+E32+E33+E34+E35+E36+E37+E38+E39+E40+E41</f>
        <v>73922.27</v>
      </c>
      <c r="F22" s="158">
        <f>+F24+F25+F26+F27+F28+F30+F29+F31+F32+F33+F34+F35+F36+F37+F38+F39+F40+F41</f>
        <v>0</v>
      </c>
      <c r="G22" s="158">
        <f t="shared" si="7"/>
        <v>77340</v>
      </c>
      <c r="H22" s="158">
        <f>+H24+H25+H26+H27+H28+H30+H29+H31+H32+H33+H34+H35+H36+H37+H38+H39+H40+H41</f>
        <v>77340</v>
      </c>
      <c r="I22" s="158">
        <f>+I24+I25+I26+I27+I28+I30+I29+I31+I32+I33+I34+I35+I36+I37+I38+I39+I40+I41</f>
        <v>0</v>
      </c>
      <c r="J22" s="158">
        <f t="shared" si="0"/>
        <v>98530</v>
      </c>
      <c r="K22" s="158">
        <f>+K24+K25+K26+K27+K28+K30+K29+K31+K32+K33+K34+K35+K36+K37+K38+K39+K40+K41</f>
        <v>98530</v>
      </c>
      <c r="L22" s="158">
        <f>+L24+L25+L26+L27+L28+L30+L29+L31+L32+L33+L34+L35+L36+L37+L38+L39+L40+L41</f>
        <v>0</v>
      </c>
      <c r="M22" s="158">
        <f t="shared" si="1"/>
        <v>21190</v>
      </c>
      <c r="N22" s="158">
        <f t="shared" si="2"/>
        <v>21190</v>
      </c>
      <c r="O22" s="158">
        <f t="shared" si="3"/>
        <v>0</v>
      </c>
      <c r="P22" s="158">
        <f t="shared" si="5"/>
        <v>98530</v>
      </c>
      <c r="Q22" s="158">
        <f>+Q24+Q25+Q26+Q27+Q28+Q30+Q29+Q31+Q32+Q33+Q34+Q35+Q36+Q37+Q38+Q39+Q40+Q41</f>
        <v>98530</v>
      </c>
      <c r="R22" s="158">
        <f>+R24+R25+R26+R27+R28+R30+R29+R31+R32+R33+R34+R35+R36+R37+R38+R39+R40+R41</f>
        <v>0</v>
      </c>
      <c r="S22" s="158">
        <f t="shared" si="6"/>
        <v>98530</v>
      </c>
      <c r="T22" s="158">
        <f>+T24+T25+T26+T27+T28+T30+T29+T31+T32+T33+T34+T35+T36+T37+T38+T39+T40+T41</f>
        <v>98530</v>
      </c>
      <c r="U22" s="158">
        <f>+U24+U25+U26+U27+U28+U30+U29+U31+U32+U33+U34+U35+U36+U37+U38+U39+U40+U41</f>
        <v>0</v>
      </c>
      <c r="V22" s="194" t="s">
        <v>742</v>
      </c>
      <c r="W22" s="159"/>
      <c r="X22" s="159"/>
    </row>
    <row r="23" spans="1:24" s="167" customFormat="1" ht="10.5">
      <c r="A23" s="161"/>
      <c r="B23" s="146" t="s">
        <v>5</v>
      </c>
      <c r="C23" s="162"/>
      <c r="D23" s="163">
        <f t="shared" si="4"/>
        <v>0</v>
      </c>
      <c r="E23" s="164"/>
      <c r="F23" s="165"/>
      <c r="G23" s="158">
        <f t="shared" si="7"/>
        <v>0</v>
      </c>
      <c r="H23" s="165"/>
      <c r="I23" s="165"/>
      <c r="J23" s="158">
        <f t="shared" si="0"/>
        <v>0</v>
      </c>
      <c r="K23" s="165"/>
      <c r="L23" s="165"/>
      <c r="M23" s="158">
        <f t="shared" si="1"/>
        <v>0</v>
      </c>
      <c r="N23" s="158">
        <f t="shared" si="2"/>
        <v>0</v>
      </c>
      <c r="O23" s="158">
        <f t="shared" si="3"/>
        <v>0</v>
      </c>
      <c r="P23" s="158">
        <f t="shared" si="5"/>
        <v>0</v>
      </c>
      <c r="Q23" s="165"/>
      <c r="R23" s="165"/>
      <c r="S23" s="158">
        <f t="shared" si="6"/>
        <v>0</v>
      </c>
      <c r="T23" s="165"/>
      <c r="U23" s="165"/>
      <c r="V23" s="195"/>
      <c r="W23" s="166"/>
      <c r="X23" s="166"/>
    </row>
    <row r="24" spans="1:24" s="167" customFormat="1" ht="42">
      <c r="A24" s="161" t="s">
        <v>31</v>
      </c>
      <c r="B24" s="146" t="s">
        <v>32</v>
      </c>
      <c r="C24" s="162" t="s">
        <v>10</v>
      </c>
      <c r="D24" s="163">
        <f t="shared" si="4"/>
        <v>27529</v>
      </c>
      <c r="E24" s="164">
        <v>27529</v>
      </c>
      <c r="F24" s="165"/>
      <c r="G24" s="158">
        <f t="shared" si="7"/>
        <v>28250</v>
      </c>
      <c r="H24" s="165">
        <v>28250</v>
      </c>
      <c r="I24" s="165"/>
      <c r="J24" s="158">
        <f t="shared" si="0"/>
        <v>28250</v>
      </c>
      <c r="K24" s="165">
        <v>28250</v>
      </c>
      <c r="L24" s="165"/>
      <c r="M24" s="158">
        <f t="shared" si="1"/>
        <v>0</v>
      </c>
      <c r="N24" s="158">
        <f t="shared" si="2"/>
        <v>0</v>
      </c>
      <c r="O24" s="158">
        <f t="shared" si="3"/>
        <v>0</v>
      </c>
      <c r="P24" s="158">
        <f t="shared" si="5"/>
        <v>28250</v>
      </c>
      <c r="Q24" s="165">
        <v>28250</v>
      </c>
      <c r="R24" s="165"/>
      <c r="S24" s="158">
        <f t="shared" si="6"/>
        <v>28250</v>
      </c>
      <c r="T24" s="165">
        <v>28250</v>
      </c>
      <c r="U24" s="165"/>
      <c r="V24" s="196"/>
      <c r="W24" s="166"/>
      <c r="X24" s="166"/>
    </row>
    <row r="25" spans="1:24" s="167" customFormat="1" ht="73.5">
      <c r="A25" s="161" t="s">
        <v>33</v>
      </c>
      <c r="B25" s="146" t="s">
        <v>34</v>
      </c>
      <c r="C25" s="162" t="s">
        <v>10</v>
      </c>
      <c r="D25" s="163">
        <f t="shared" si="4"/>
        <v>0</v>
      </c>
      <c r="E25" s="164">
        <v>0</v>
      </c>
      <c r="F25" s="165"/>
      <c r="G25" s="158">
        <f t="shared" si="7"/>
        <v>0</v>
      </c>
      <c r="H25" s="165"/>
      <c r="I25" s="165"/>
      <c r="J25" s="158">
        <f t="shared" si="0"/>
        <v>0</v>
      </c>
      <c r="K25" s="165"/>
      <c r="L25" s="165"/>
      <c r="M25" s="158">
        <f t="shared" si="1"/>
        <v>0</v>
      </c>
      <c r="N25" s="158">
        <f t="shared" si="2"/>
        <v>0</v>
      </c>
      <c r="O25" s="158">
        <f t="shared" si="3"/>
        <v>0</v>
      </c>
      <c r="P25" s="158">
        <f t="shared" si="5"/>
        <v>0</v>
      </c>
      <c r="Q25" s="165"/>
      <c r="R25" s="165"/>
      <c r="S25" s="158">
        <f t="shared" si="6"/>
        <v>0</v>
      </c>
      <c r="T25" s="165"/>
      <c r="U25" s="165"/>
      <c r="V25" s="180"/>
      <c r="W25" s="166"/>
      <c r="X25" s="166"/>
    </row>
    <row r="26" spans="1:24" s="167" customFormat="1" ht="42">
      <c r="A26" s="161" t="s">
        <v>35</v>
      </c>
      <c r="B26" s="146" t="s">
        <v>36</v>
      </c>
      <c r="C26" s="162" t="s">
        <v>10</v>
      </c>
      <c r="D26" s="163">
        <f t="shared" si="4"/>
        <v>82.5</v>
      </c>
      <c r="E26" s="164">
        <v>82.5</v>
      </c>
      <c r="F26" s="165"/>
      <c r="G26" s="158">
        <f t="shared" si="7"/>
        <v>75</v>
      </c>
      <c r="H26" s="165">
        <v>75</v>
      </c>
      <c r="I26" s="165"/>
      <c r="J26" s="158">
        <f t="shared" si="0"/>
        <v>75</v>
      </c>
      <c r="K26" s="165">
        <v>75</v>
      </c>
      <c r="L26" s="165"/>
      <c r="M26" s="158">
        <f t="shared" si="1"/>
        <v>0</v>
      </c>
      <c r="N26" s="158">
        <f t="shared" si="2"/>
        <v>0</v>
      </c>
      <c r="O26" s="158">
        <f t="shared" si="3"/>
        <v>0</v>
      </c>
      <c r="P26" s="158">
        <f t="shared" si="5"/>
        <v>75</v>
      </c>
      <c r="Q26" s="165">
        <v>75</v>
      </c>
      <c r="R26" s="165"/>
      <c r="S26" s="158">
        <f t="shared" si="6"/>
        <v>75</v>
      </c>
      <c r="T26" s="165">
        <v>75</v>
      </c>
      <c r="U26" s="165"/>
      <c r="V26" s="180"/>
      <c r="W26" s="166"/>
      <c r="X26" s="166"/>
    </row>
    <row r="27" spans="1:24" s="167" customFormat="1" ht="84">
      <c r="A27" s="161" t="s">
        <v>37</v>
      </c>
      <c r="B27" s="146" t="s">
        <v>38</v>
      </c>
      <c r="C27" s="162" t="s">
        <v>10</v>
      </c>
      <c r="D27" s="163">
        <f t="shared" si="4"/>
        <v>2527.5</v>
      </c>
      <c r="E27" s="164">
        <v>2527.5</v>
      </c>
      <c r="F27" s="165"/>
      <c r="G27" s="158">
        <f t="shared" si="7"/>
        <v>2550</v>
      </c>
      <c r="H27" s="165">
        <v>2550</v>
      </c>
      <c r="I27" s="165"/>
      <c r="J27" s="158">
        <f t="shared" si="0"/>
        <v>6600</v>
      </c>
      <c r="K27" s="165">
        <v>6600</v>
      </c>
      <c r="L27" s="165"/>
      <c r="M27" s="158">
        <f t="shared" si="1"/>
        <v>4050</v>
      </c>
      <c r="N27" s="158">
        <f t="shared" si="2"/>
        <v>4050</v>
      </c>
      <c r="O27" s="158">
        <f t="shared" si="3"/>
        <v>0</v>
      </c>
      <c r="P27" s="158">
        <f t="shared" si="5"/>
        <v>6600</v>
      </c>
      <c r="Q27" s="165">
        <v>6600</v>
      </c>
      <c r="R27" s="165"/>
      <c r="S27" s="158">
        <f t="shared" si="6"/>
        <v>6600</v>
      </c>
      <c r="T27" s="165">
        <v>6600</v>
      </c>
      <c r="U27" s="165"/>
      <c r="V27" s="180"/>
      <c r="W27" s="166"/>
      <c r="X27" s="166"/>
    </row>
    <row r="28" spans="1:24" s="167" customFormat="1" ht="84">
      <c r="A28" s="161" t="s">
        <v>39</v>
      </c>
      <c r="B28" s="146" t="s">
        <v>40</v>
      </c>
      <c r="C28" s="162" t="s">
        <v>10</v>
      </c>
      <c r="D28" s="163">
        <f t="shared" si="4"/>
        <v>1495</v>
      </c>
      <c r="E28" s="164">
        <v>1495</v>
      </c>
      <c r="F28" s="165"/>
      <c r="G28" s="158">
        <f t="shared" si="7"/>
        <v>1750</v>
      </c>
      <c r="H28" s="165">
        <v>1750</v>
      </c>
      <c r="I28" s="165"/>
      <c r="J28" s="158">
        <f t="shared" si="0"/>
        <v>2355</v>
      </c>
      <c r="K28" s="165">
        <v>2355</v>
      </c>
      <c r="L28" s="165"/>
      <c r="M28" s="158">
        <f t="shared" si="1"/>
        <v>605</v>
      </c>
      <c r="N28" s="158">
        <f t="shared" si="2"/>
        <v>605</v>
      </c>
      <c r="O28" s="158">
        <f t="shared" si="3"/>
        <v>0</v>
      </c>
      <c r="P28" s="158">
        <f t="shared" si="5"/>
        <v>2355</v>
      </c>
      <c r="Q28" s="165">
        <v>2355</v>
      </c>
      <c r="R28" s="165"/>
      <c r="S28" s="158">
        <f t="shared" si="6"/>
        <v>2355</v>
      </c>
      <c r="T28" s="165">
        <v>2355</v>
      </c>
      <c r="U28" s="165"/>
      <c r="V28" s="180"/>
      <c r="W28" s="166"/>
      <c r="X28" s="166"/>
    </row>
    <row r="29" spans="1:24" s="167" customFormat="1" ht="52.5">
      <c r="A29" s="161" t="s">
        <v>41</v>
      </c>
      <c r="B29" s="146" t="s">
        <v>42</v>
      </c>
      <c r="C29" s="162" t="s">
        <v>10</v>
      </c>
      <c r="D29" s="163">
        <f t="shared" si="4"/>
        <v>512.5</v>
      </c>
      <c r="E29" s="164">
        <v>512.5</v>
      </c>
      <c r="F29" s="165"/>
      <c r="G29" s="158">
        <f t="shared" si="7"/>
        <v>500</v>
      </c>
      <c r="H29" s="165">
        <v>500</v>
      </c>
      <c r="I29" s="165"/>
      <c r="J29" s="158">
        <f t="shared" si="0"/>
        <v>2500</v>
      </c>
      <c r="K29" s="165">
        <v>2500</v>
      </c>
      <c r="L29" s="165"/>
      <c r="M29" s="158">
        <f t="shared" si="1"/>
        <v>2000</v>
      </c>
      <c r="N29" s="158">
        <f t="shared" si="2"/>
        <v>2000</v>
      </c>
      <c r="O29" s="158">
        <f t="shared" si="3"/>
        <v>0</v>
      </c>
      <c r="P29" s="158">
        <f t="shared" si="5"/>
        <v>2500</v>
      </c>
      <c r="Q29" s="165">
        <v>2500</v>
      </c>
      <c r="R29" s="165"/>
      <c r="S29" s="158">
        <f t="shared" si="6"/>
        <v>2500</v>
      </c>
      <c r="T29" s="165">
        <v>2500</v>
      </c>
      <c r="U29" s="165"/>
      <c r="V29" s="180"/>
      <c r="W29" s="166"/>
      <c r="X29" s="166"/>
    </row>
    <row r="30" spans="1:24" s="167" customFormat="1" ht="42">
      <c r="A30" s="161" t="s">
        <v>43</v>
      </c>
      <c r="B30" s="146" t="s">
        <v>44</v>
      </c>
      <c r="C30" s="162" t="s">
        <v>10</v>
      </c>
      <c r="D30" s="163">
        <f t="shared" si="4"/>
        <v>18089.9</v>
      </c>
      <c r="E30" s="164">
        <v>18089.9</v>
      </c>
      <c r="F30" s="165"/>
      <c r="G30" s="158">
        <f t="shared" si="7"/>
        <v>18700</v>
      </c>
      <c r="H30" s="165">
        <v>18700</v>
      </c>
      <c r="I30" s="165"/>
      <c r="J30" s="158">
        <f t="shared" si="0"/>
        <v>19000</v>
      </c>
      <c r="K30" s="165">
        <v>19000</v>
      </c>
      <c r="L30" s="165"/>
      <c r="M30" s="158">
        <f t="shared" si="1"/>
        <v>300</v>
      </c>
      <c r="N30" s="158">
        <f t="shared" si="2"/>
        <v>300</v>
      </c>
      <c r="O30" s="158">
        <f t="shared" si="3"/>
        <v>0</v>
      </c>
      <c r="P30" s="158">
        <f t="shared" si="5"/>
        <v>19000</v>
      </c>
      <c r="Q30" s="165">
        <v>19000</v>
      </c>
      <c r="R30" s="165"/>
      <c r="S30" s="158">
        <f t="shared" si="6"/>
        <v>19000</v>
      </c>
      <c r="T30" s="165">
        <v>19000</v>
      </c>
      <c r="U30" s="165"/>
      <c r="V30" s="180"/>
      <c r="W30" s="166"/>
      <c r="X30" s="166"/>
    </row>
    <row r="31" spans="1:24" s="167" customFormat="1" ht="63">
      <c r="A31" s="161" t="s">
        <v>45</v>
      </c>
      <c r="B31" s="146" t="s">
        <v>46</v>
      </c>
      <c r="C31" s="162" t="s">
        <v>10</v>
      </c>
      <c r="D31" s="163">
        <f t="shared" si="4"/>
        <v>2414.8</v>
      </c>
      <c r="E31" s="164">
        <v>2414.8</v>
      </c>
      <c r="F31" s="165"/>
      <c r="G31" s="158">
        <f t="shared" si="7"/>
        <v>2415</v>
      </c>
      <c r="H31" s="165">
        <v>2415</v>
      </c>
      <c r="I31" s="165"/>
      <c r="J31" s="158">
        <f t="shared" si="0"/>
        <v>3200</v>
      </c>
      <c r="K31" s="165">
        <v>3200</v>
      </c>
      <c r="L31" s="165"/>
      <c r="M31" s="158">
        <f t="shared" si="1"/>
        <v>785</v>
      </c>
      <c r="N31" s="158">
        <f t="shared" si="2"/>
        <v>785</v>
      </c>
      <c r="O31" s="158">
        <f t="shared" si="3"/>
        <v>0</v>
      </c>
      <c r="P31" s="158">
        <f t="shared" si="5"/>
        <v>3200</v>
      </c>
      <c r="Q31" s="165">
        <v>3200</v>
      </c>
      <c r="R31" s="165"/>
      <c r="S31" s="158">
        <f t="shared" si="6"/>
        <v>3200</v>
      </c>
      <c r="T31" s="165">
        <v>3200</v>
      </c>
      <c r="U31" s="165"/>
      <c r="V31" s="180"/>
      <c r="W31" s="166"/>
      <c r="X31" s="166"/>
    </row>
    <row r="32" spans="1:24" s="167" customFormat="1" ht="73.5">
      <c r="A32" s="161" t="s">
        <v>47</v>
      </c>
      <c r="B32" s="146" t="s">
        <v>48</v>
      </c>
      <c r="C32" s="162" t="s">
        <v>10</v>
      </c>
      <c r="D32" s="163">
        <f t="shared" si="4"/>
        <v>1340.33</v>
      </c>
      <c r="E32" s="164">
        <v>1340.33</v>
      </c>
      <c r="F32" s="165"/>
      <c r="G32" s="158">
        <f t="shared" si="7"/>
        <v>1500</v>
      </c>
      <c r="H32" s="165">
        <v>1500</v>
      </c>
      <c r="I32" s="165"/>
      <c r="J32" s="158">
        <f t="shared" si="0"/>
        <v>1375</v>
      </c>
      <c r="K32" s="165">
        <v>1375</v>
      </c>
      <c r="L32" s="165"/>
      <c r="M32" s="158">
        <f t="shared" si="1"/>
        <v>-125</v>
      </c>
      <c r="N32" s="158">
        <f t="shared" si="2"/>
        <v>-125</v>
      </c>
      <c r="O32" s="158">
        <f t="shared" si="3"/>
        <v>0</v>
      </c>
      <c r="P32" s="158">
        <f t="shared" si="5"/>
        <v>1375</v>
      </c>
      <c r="Q32" s="165">
        <v>1375</v>
      </c>
      <c r="R32" s="165"/>
      <c r="S32" s="158">
        <f t="shared" si="6"/>
        <v>1375</v>
      </c>
      <c r="T32" s="165">
        <v>1375</v>
      </c>
      <c r="U32" s="165"/>
      <c r="V32" s="180"/>
      <c r="W32" s="166"/>
      <c r="X32" s="166"/>
    </row>
    <row r="33" spans="1:24" s="167" customFormat="1" ht="52.5">
      <c r="A33" s="161" t="s">
        <v>49</v>
      </c>
      <c r="B33" s="146" t="s">
        <v>50</v>
      </c>
      <c r="C33" s="162" t="s">
        <v>10</v>
      </c>
      <c r="D33" s="163">
        <f t="shared" si="4"/>
        <v>2917.64</v>
      </c>
      <c r="E33" s="164">
        <v>2917.64</v>
      </c>
      <c r="F33" s="165"/>
      <c r="G33" s="158">
        <f t="shared" si="7"/>
        <v>3100</v>
      </c>
      <c r="H33" s="165">
        <v>3100</v>
      </c>
      <c r="I33" s="165"/>
      <c r="J33" s="158">
        <f t="shared" si="0"/>
        <v>4000</v>
      </c>
      <c r="K33" s="165">
        <v>4000</v>
      </c>
      <c r="L33" s="165"/>
      <c r="M33" s="158">
        <f t="shared" si="1"/>
        <v>900</v>
      </c>
      <c r="N33" s="158">
        <f t="shared" si="2"/>
        <v>900</v>
      </c>
      <c r="O33" s="158">
        <f t="shared" si="3"/>
        <v>0</v>
      </c>
      <c r="P33" s="158">
        <f t="shared" si="5"/>
        <v>4000</v>
      </c>
      <c r="Q33" s="165">
        <v>4000</v>
      </c>
      <c r="R33" s="165"/>
      <c r="S33" s="158">
        <f t="shared" si="6"/>
        <v>4000</v>
      </c>
      <c r="T33" s="165">
        <v>4000</v>
      </c>
      <c r="U33" s="165"/>
      <c r="V33" s="180"/>
      <c r="W33" s="166"/>
      <c r="X33" s="166"/>
    </row>
    <row r="34" spans="1:24" s="167" customFormat="1" ht="42">
      <c r="A34" s="161" t="s">
        <v>51</v>
      </c>
      <c r="B34" s="146" t="s">
        <v>52</v>
      </c>
      <c r="C34" s="162" t="s">
        <v>10</v>
      </c>
      <c r="D34" s="163">
        <f t="shared" si="4"/>
        <v>0</v>
      </c>
      <c r="E34" s="164">
        <v>0</v>
      </c>
      <c r="F34" s="165"/>
      <c r="G34" s="158">
        <f t="shared" si="7"/>
        <v>0</v>
      </c>
      <c r="H34" s="165"/>
      <c r="I34" s="165"/>
      <c r="J34" s="158">
        <f t="shared" si="0"/>
        <v>0</v>
      </c>
      <c r="K34" s="165">
        <v>0</v>
      </c>
      <c r="L34" s="165"/>
      <c r="M34" s="158">
        <f t="shared" si="1"/>
        <v>0</v>
      </c>
      <c r="N34" s="158">
        <f t="shared" si="2"/>
        <v>0</v>
      </c>
      <c r="O34" s="158">
        <f t="shared" si="3"/>
        <v>0</v>
      </c>
      <c r="P34" s="158">
        <f t="shared" si="5"/>
        <v>0</v>
      </c>
      <c r="Q34" s="165">
        <v>0</v>
      </c>
      <c r="R34" s="165"/>
      <c r="S34" s="158">
        <f t="shared" si="6"/>
        <v>0</v>
      </c>
      <c r="T34" s="165">
        <v>0</v>
      </c>
      <c r="U34" s="165"/>
      <c r="V34" s="180"/>
      <c r="W34" s="166"/>
      <c r="X34" s="166"/>
    </row>
    <row r="35" spans="1:24" s="167" customFormat="1" ht="84">
      <c r="A35" s="161" t="s">
        <v>53</v>
      </c>
      <c r="B35" s="146" t="s">
        <v>54</v>
      </c>
      <c r="C35" s="162" t="s">
        <v>10</v>
      </c>
      <c r="D35" s="163">
        <f t="shared" si="4"/>
        <v>13549.8</v>
      </c>
      <c r="E35" s="164">
        <v>13549.8</v>
      </c>
      <c r="F35" s="165"/>
      <c r="G35" s="158">
        <f t="shared" si="7"/>
        <v>15000</v>
      </c>
      <c r="H35" s="165">
        <v>15000</v>
      </c>
      <c r="I35" s="165"/>
      <c r="J35" s="158">
        <f t="shared" si="0"/>
        <v>27825</v>
      </c>
      <c r="K35" s="165">
        <v>27825</v>
      </c>
      <c r="L35" s="165"/>
      <c r="M35" s="158">
        <f t="shared" si="1"/>
        <v>12825</v>
      </c>
      <c r="N35" s="158">
        <f t="shared" si="2"/>
        <v>12825</v>
      </c>
      <c r="O35" s="158">
        <f t="shared" si="3"/>
        <v>0</v>
      </c>
      <c r="P35" s="158">
        <f t="shared" si="5"/>
        <v>27825</v>
      </c>
      <c r="Q35" s="165">
        <v>27825</v>
      </c>
      <c r="R35" s="165"/>
      <c r="S35" s="158">
        <f t="shared" si="6"/>
        <v>27825</v>
      </c>
      <c r="T35" s="165">
        <v>27825</v>
      </c>
      <c r="U35" s="165"/>
      <c r="V35" s="180"/>
      <c r="W35" s="166"/>
      <c r="X35" s="166"/>
    </row>
    <row r="36" spans="1:24" s="167" customFormat="1" ht="94.5">
      <c r="A36" s="161" t="s">
        <v>55</v>
      </c>
      <c r="B36" s="146" t="s">
        <v>56</v>
      </c>
      <c r="C36" s="162" t="s">
        <v>10</v>
      </c>
      <c r="D36" s="163">
        <f t="shared" si="4"/>
        <v>425</v>
      </c>
      <c r="E36" s="164">
        <v>425</v>
      </c>
      <c r="F36" s="165"/>
      <c r="G36" s="158">
        <f t="shared" si="7"/>
        <v>400</v>
      </c>
      <c r="H36" s="165">
        <v>400</v>
      </c>
      <c r="I36" s="165"/>
      <c r="J36" s="158">
        <f t="shared" si="0"/>
        <v>600</v>
      </c>
      <c r="K36" s="165">
        <v>600</v>
      </c>
      <c r="L36" s="165"/>
      <c r="M36" s="158">
        <f t="shared" si="1"/>
        <v>200</v>
      </c>
      <c r="N36" s="158">
        <f t="shared" si="2"/>
        <v>200</v>
      </c>
      <c r="O36" s="158">
        <f t="shared" si="3"/>
        <v>0</v>
      </c>
      <c r="P36" s="158">
        <f t="shared" si="5"/>
        <v>600</v>
      </c>
      <c r="Q36" s="165">
        <v>600</v>
      </c>
      <c r="R36" s="165"/>
      <c r="S36" s="158">
        <f t="shared" si="6"/>
        <v>600</v>
      </c>
      <c r="T36" s="165">
        <v>600</v>
      </c>
      <c r="U36" s="165"/>
      <c r="V36" s="180"/>
      <c r="W36" s="166"/>
      <c r="X36" s="166"/>
    </row>
    <row r="37" spans="1:24" s="167" customFormat="1" ht="52.5">
      <c r="A37" s="161" t="s">
        <v>57</v>
      </c>
      <c r="B37" s="146" t="s">
        <v>58</v>
      </c>
      <c r="C37" s="162" t="s">
        <v>10</v>
      </c>
      <c r="D37" s="163">
        <f t="shared" si="4"/>
        <v>471</v>
      </c>
      <c r="E37" s="164">
        <v>471</v>
      </c>
      <c r="F37" s="165"/>
      <c r="G37" s="158">
        <f t="shared" si="7"/>
        <v>500</v>
      </c>
      <c r="H37" s="165">
        <v>500</v>
      </c>
      <c r="I37" s="165"/>
      <c r="J37" s="158">
        <f t="shared" si="0"/>
        <v>150</v>
      </c>
      <c r="K37" s="165">
        <v>150</v>
      </c>
      <c r="L37" s="165"/>
      <c r="M37" s="158">
        <f t="shared" si="1"/>
        <v>-350</v>
      </c>
      <c r="N37" s="158">
        <f t="shared" si="2"/>
        <v>-350</v>
      </c>
      <c r="O37" s="158">
        <f t="shared" si="3"/>
        <v>0</v>
      </c>
      <c r="P37" s="158">
        <f t="shared" si="5"/>
        <v>150</v>
      </c>
      <c r="Q37" s="165">
        <v>150</v>
      </c>
      <c r="R37" s="165"/>
      <c r="S37" s="158">
        <f t="shared" si="6"/>
        <v>150</v>
      </c>
      <c r="T37" s="165">
        <v>150</v>
      </c>
      <c r="U37" s="165"/>
      <c r="V37" s="180"/>
      <c r="W37" s="166"/>
      <c r="X37" s="166"/>
    </row>
    <row r="38" spans="1:24" s="167" customFormat="1" ht="52.5">
      <c r="A38" s="161" t="s">
        <v>59</v>
      </c>
      <c r="B38" s="146" t="s">
        <v>60</v>
      </c>
      <c r="C38" s="162" t="s">
        <v>10</v>
      </c>
      <c r="D38" s="163">
        <f t="shared" si="4"/>
        <v>375</v>
      </c>
      <c r="E38" s="164">
        <v>375</v>
      </c>
      <c r="F38" s="165"/>
      <c r="G38" s="158">
        <f t="shared" si="7"/>
        <v>2500</v>
      </c>
      <c r="H38" s="165">
        <v>2500</v>
      </c>
      <c r="I38" s="165"/>
      <c r="J38" s="158">
        <f t="shared" si="0"/>
        <v>2500</v>
      </c>
      <c r="K38" s="165">
        <v>2500</v>
      </c>
      <c r="L38" s="165"/>
      <c r="M38" s="158">
        <f t="shared" si="1"/>
        <v>0</v>
      </c>
      <c r="N38" s="158">
        <f t="shared" si="2"/>
        <v>0</v>
      </c>
      <c r="O38" s="158">
        <f t="shared" si="3"/>
        <v>0</v>
      </c>
      <c r="P38" s="158">
        <f t="shared" si="5"/>
        <v>2500</v>
      </c>
      <c r="Q38" s="165">
        <v>2500</v>
      </c>
      <c r="R38" s="165"/>
      <c r="S38" s="158">
        <f t="shared" si="6"/>
        <v>2500</v>
      </c>
      <c r="T38" s="165">
        <v>2500</v>
      </c>
      <c r="U38" s="165"/>
      <c r="V38" s="180"/>
      <c r="W38" s="166"/>
      <c r="X38" s="166"/>
    </row>
    <row r="39" spans="1:24" s="167" customFormat="1" ht="42">
      <c r="A39" s="161" t="s">
        <v>61</v>
      </c>
      <c r="B39" s="146" t="s">
        <v>62</v>
      </c>
      <c r="C39" s="162" t="s">
        <v>10</v>
      </c>
      <c r="D39" s="163">
        <f t="shared" si="4"/>
        <v>0</v>
      </c>
      <c r="E39" s="164">
        <v>0</v>
      </c>
      <c r="F39" s="165"/>
      <c r="G39" s="158">
        <f t="shared" si="7"/>
        <v>0</v>
      </c>
      <c r="H39" s="165"/>
      <c r="I39" s="165"/>
      <c r="J39" s="158">
        <f t="shared" si="0"/>
        <v>0</v>
      </c>
      <c r="K39" s="165">
        <v>0</v>
      </c>
      <c r="L39" s="165"/>
      <c r="M39" s="158">
        <f t="shared" si="1"/>
        <v>0</v>
      </c>
      <c r="N39" s="158">
        <f t="shared" si="2"/>
        <v>0</v>
      </c>
      <c r="O39" s="158">
        <f t="shared" si="3"/>
        <v>0</v>
      </c>
      <c r="P39" s="158">
        <f t="shared" si="5"/>
        <v>0</v>
      </c>
      <c r="Q39" s="165">
        <v>0</v>
      </c>
      <c r="R39" s="165"/>
      <c r="S39" s="158">
        <f t="shared" si="6"/>
        <v>0</v>
      </c>
      <c r="T39" s="165">
        <v>0</v>
      </c>
      <c r="U39" s="165"/>
      <c r="V39" s="180"/>
      <c r="W39" s="166"/>
      <c r="X39" s="166"/>
    </row>
    <row r="40" spans="1:24" s="167" customFormat="1" ht="31.5">
      <c r="A40" s="161" t="s">
        <v>63</v>
      </c>
      <c r="B40" s="146" t="s">
        <v>64</v>
      </c>
      <c r="C40" s="162" t="s">
        <v>10</v>
      </c>
      <c r="D40" s="163">
        <f t="shared" si="4"/>
        <v>65</v>
      </c>
      <c r="E40" s="164">
        <v>65</v>
      </c>
      <c r="F40" s="165"/>
      <c r="G40" s="158">
        <f t="shared" si="7"/>
        <v>100</v>
      </c>
      <c r="H40" s="165">
        <v>100</v>
      </c>
      <c r="I40" s="165"/>
      <c r="J40" s="158">
        <f t="shared" si="0"/>
        <v>100</v>
      </c>
      <c r="K40" s="165">
        <v>100</v>
      </c>
      <c r="L40" s="165"/>
      <c r="M40" s="158">
        <f t="shared" si="1"/>
        <v>0</v>
      </c>
      <c r="N40" s="158">
        <f t="shared" si="2"/>
        <v>0</v>
      </c>
      <c r="O40" s="158">
        <f t="shared" si="3"/>
        <v>0</v>
      </c>
      <c r="P40" s="158">
        <f t="shared" si="5"/>
        <v>100</v>
      </c>
      <c r="Q40" s="165">
        <v>100</v>
      </c>
      <c r="R40" s="165"/>
      <c r="S40" s="158">
        <f t="shared" si="6"/>
        <v>100</v>
      </c>
      <c r="T40" s="165">
        <v>100</v>
      </c>
      <c r="U40" s="165"/>
      <c r="V40" s="180"/>
      <c r="W40" s="166"/>
      <c r="X40" s="166"/>
    </row>
    <row r="41" spans="1:24" s="167" customFormat="1" ht="21">
      <c r="A41" s="161" t="s">
        <v>65</v>
      </c>
      <c r="B41" s="146" t="s">
        <v>66</v>
      </c>
      <c r="C41" s="162" t="s">
        <v>10</v>
      </c>
      <c r="D41" s="163">
        <f t="shared" si="4"/>
        <v>2127.3</v>
      </c>
      <c r="E41" s="164">
        <v>2127.3</v>
      </c>
      <c r="F41" s="165"/>
      <c r="G41" s="158">
        <f t="shared" si="7"/>
        <v>0</v>
      </c>
      <c r="H41" s="165"/>
      <c r="I41" s="165"/>
      <c r="J41" s="158">
        <f t="shared" si="0"/>
        <v>0</v>
      </c>
      <c r="K41" s="165"/>
      <c r="L41" s="165"/>
      <c r="M41" s="158">
        <f t="shared" si="1"/>
        <v>0</v>
      </c>
      <c r="N41" s="158">
        <f t="shared" si="2"/>
        <v>0</v>
      </c>
      <c r="O41" s="158">
        <f t="shared" si="3"/>
        <v>0</v>
      </c>
      <c r="P41" s="158">
        <f t="shared" si="5"/>
        <v>0</v>
      </c>
      <c r="Q41" s="165"/>
      <c r="R41" s="165"/>
      <c r="S41" s="158">
        <f t="shared" si="6"/>
        <v>0</v>
      </c>
      <c r="T41" s="165"/>
      <c r="U41" s="165"/>
      <c r="V41" s="180"/>
      <c r="W41" s="166"/>
      <c r="X41" s="166"/>
    </row>
    <row r="42" spans="1:24" s="160" customFormat="1" ht="31.5">
      <c r="A42" s="154" t="s">
        <v>67</v>
      </c>
      <c r="B42" s="145" t="s">
        <v>68</v>
      </c>
      <c r="C42" s="155" t="s">
        <v>69</v>
      </c>
      <c r="D42" s="163">
        <f t="shared" si="4"/>
        <v>50469.9</v>
      </c>
      <c r="E42" s="157">
        <f>+E44+E45</f>
        <v>50469.9</v>
      </c>
      <c r="F42" s="158">
        <f>+F44+F45</f>
        <v>0</v>
      </c>
      <c r="G42" s="158">
        <f t="shared" si="7"/>
        <v>51000</v>
      </c>
      <c r="H42" s="158">
        <f>+H44+H45</f>
        <v>51000</v>
      </c>
      <c r="I42" s="158">
        <f>+I44+I45</f>
        <v>0</v>
      </c>
      <c r="J42" s="158">
        <f aca="true" t="shared" si="8" ref="J42:J73">+K42+L42</f>
        <v>53000</v>
      </c>
      <c r="K42" s="158">
        <f>+K44+K45</f>
        <v>53000</v>
      </c>
      <c r="L42" s="158">
        <f>+L44+L45</f>
        <v>0</v>
      </c>
      <c r="M42" s="158">
        <f aca="true" t="shared" si="9" ref="M42:M73">+J42-G42</f>
        <v>2000</v>
      </c>
      <c r="N42" s="158">
        <f aca="true" t="shared" si="10" ref="N42:N73">+K42-H42</f>
        <v>2000</v>
      </c>
      <c r="O42" s="158">
        <f aca="true" t="shared" si="11" ref="O42:O73">+L42-I42</f>
        <v>0</v>
      </c>
      <c r="P42" s="158">
        <f t="shared" si="5"/>
        <v>53000</v>
      </c>
      <c r="Q42" s="158">
        <f>+Q44+Q45</f>
        <v>53000</v>
      </c>
      <c r="R42" s="158">
        <f>+R44+R45</f>
        <v>0</v>
      </c>
      <c r="S42" s="158">
        <f t="shared" si="6"/>
        <v>53000</v>
      </c>
      <c r="T42" s="158">
        <f>+T44+T45</f>
        <v>53000</v>
      </c>
      <c r="U42" s="158">
        <f>+U44+U45</f>
        <v>0</v>
      </c>
      <c r="V42" s="194" t="s">
        <v>743</v>
      </c>
      <c r="W42" s="159"/>
      <c r="X42" s="159"/>
    </row>
    <row r="43" spans="1:24" s="167" customFormat="1" ht="10.5">
      <c r="A43" s="161"/>
      <c r="B43" s="146" t="s">
        <v>5</v>
      </c>
      <c r="C43" s="162"/>
      <c r="D43" s="163">
        <f aca="true" t="shared" si="12" ref="D43:D62">+E43+F43</f>
        <v>0</v>
      </c>
      <c r="E43" s="164"/>
      <c r="F43" s="165"/>
      <c r="G43" s="158">
        <f t="shared" si="7"/>
        <v>0</v>
      </c>
      <c r="H43" s="165"/>
      <c r="I43" s="165"/>
      <c r="J43" s="158">
        <f t="shared" si="8"/>
        <v>0</v>
      </c>
      <c r="K43" s="165"/>
      <c r="L43" s="165"/>
      <c r="M43" s="158">
        <f t="shared" si="9"/>
        <v>0</v>
      </c>
      <c r="N43" s="158">
        <f t="shared" si="10"/>
        <v>0</v>
      </c>
      <c r="O43" s="158">
        <f t="shared" si="11"/>
        <v>0</v>
      </c>
      <c r="P43" s="158">
        <f t="shared" si="5"/>
        <v>0</v>
      </c>
      <c r="Q43" s="165"/>
      <c r="R43" s="165"/>
      <c r="S43" s="158">
        <f t="shared" si="6"/>
        <v>0</v>
      </c>
      <c r="T43" s="165"/>
      <c r="U43" s="165"/>
      <c r="V43" s="195"/>
      <c r="W43" s="166"/>
      <c r="X43" s="166"/>
    </row>
    <row r="44" spans="1:24" s="160" customFormat="1" ht="84">
      <c r="A44" s="168" t="s">
        <v>70</v>
      </c>
      <c r="B44" s="148" t="s">
        <v>71</v>
      </c>
      <c r="C44" s="169" t="s">
        <v>10</v>
      </c>
      <c r="D44" s="163">
        <f t="shared" si="12"/>
        <v>11885.4</v>
      </c>
      <c r="E44" s="164">
        <v>11885.4</v>
      </c>
      <c r="F44" s="165"/>
      <c r="G44" s="158">
        <f t="shared" si="7"/>
        <v>12000</v>
      </c>
      <c r="H44" s="165">
        <v>12000</v>
      </c>
      <c r="I44" s="165"/>
      <c r="J44" s="158">
        <f t="shared" si="8"/>
        <v>12000</v>
      </c>
      <c r="K44" s="165">
        <v>12000</v>
      </c>
      <c r="L44" s="165"/>
      <c r="M44" s="158">
        <f t="shared" si="9"/>
        <v>0</v>
      </c>
      <c r="N44" s="158">
        <f t="shared" si="10"/>
        <v>0</v>
      </c>
      <c r="O44" s="158">
        <f t="shared" si="11"/>
        <v>0</v>
      </c>
      <c r="P44" s="158">
        <f t="shared" si="5"/>
        <v>12000</v>
      </c>
      <c r="Q44" s="165">
        <v>12000</v>
      </c>
      <c r="R44" s="165"/>
      <c r="S44" s="158">
        <f t="shared" si="6"/>
        <v>12000</v>
      </c>
      <c r="T44" s="165">
        <v>12000</v>
      </c>
      <c r="U44" s="165"/>
      <c r="V44" s="196"/>
      <c r="W44" s="159"/>
      <c r="X44" s="159"/>
    </row>
    <row r="45" spans="1:24" s="160" customFormat="1" ht="84">
      <c r="A45" s="168" t="s">
        <v>72</v>
      </c>
      <c r="B45" s="148" t="s">
        <v>73</v>
      </c>
      <c r="C45" s="169" t="s">
        <v>10</v>
      </c>
      <c r="D45" s="163">
        <f t="shared" si="12"/>
        <v>38584.5</v>
      </c>
      <c r="E45" s="164">
        <v>38584.5</v>
      </c>
      <c r="F45" s="165"/>
      <c r="G45" s="158">
        <f t="shared" si="7"/>
        <v>39000</v>
      </c>
      <c r="H45" s="165">
        <v>39000</v>
      </c>
      <c r="I45" s="165"/>
      <c r="J45" s="158">
        <f t="shared" si="8"/>
        <v>41000</v>
      </c>
      <c r="K45" s="165">
        <v>41000</v>
      </c>
      <c r="L45" s="165"/>
      <c r="M45" s="158">
        <f t="shared" si="9"/>
        <v>2000</v>
      </c>
      <c r="N45" s="158">
        <f t="shared" si="10"/>
        <v>2000</v>
      </c>
      <c r="O45" s="158">
        <f t="shared" si="11"/>
        <v>0</v>
      </c>
      <c r="P45" s="158">
        <f t="shared" si="5"/>
        <v>41000</v>
      </c>
      <c r="Q45" s="165">
        <v>41000</v>
      </c>
      <c r="R45" s="165"/>
      <c r="S45" s="158">
        <f t="shared" si="6"/>
        <v>41000</v>
      </c>
      <c r="T45" s="165">
        <v>41000</v>
      </c>
      <c r="U45" s="165"/>
      <c r="V45" s="180"/>
      <c r="W45" s="159"/>
      <c r="X45" s="159"/>
    </row>
    <row r="46" spans="1:24" s="160" customFormat="1" ht="52.5">
      <c r="A46" s="154" t="s">
        <v>74</v>
      </c>
      <c r="B46" s="145" t="s">
        <v>75</v>
      </c>
      <c r="C46" s="155" t="s">
        <v>76</v>
      </c>
      <c r="D46" s="163">
        <f t="shared" si="12"/>
        <v>2066162.921</v>
      </c>
      <c r="E46" s="157">
        <f>+E48+E51+E54+E60</f>
        <v>1551174</v>
      </c>
      <c r="F46" s="158">
        <f>+F48+F51+F54+F60</f>
        <v>514988.921</v>
      </c>
      <c r="G46" s="158">
        <f t="shared" si="7"/>
        <v>1582135.5</v>
      </c>
      <c r="H46" s="158">
        <f>+H48+H51+H54+H60</f>
        <v>1582135.5</v>
      </c>
      <c r="I46" s="158">
        <f>+I48+I51+I54+I60</f>
        <v>0</v>
      </c>
      <c r="J46" s="158">
        <f t="shared" si="8"/>
        <v>2074921.6</v>
      </c>
      <c r="K46" s="158">
        <f>+K48+K51+K54+K60</f>
        <v>1574921.6</v>
      </c>
      <c r="L46" s="158">
        <f>+L48+L51+L54+L60</f>
        <v>500000</v>
      </c>
      <c r="M46" s="158">
        <f t="shared" si="9"/>
        <v>492786.1000000001</v>
      </c>
      <c r="N46" s="158">
        <f t="shared" si="10"/>
        <v>-7213.899999999907</v>
      </c>
      <c r="O46" s="158">
        <f t="shared" si="11"/>
        <v>500000</v>
      </c>
      <c r="P46" s="158">
        <f t="shared" si="5"/>
        <v>1918109.2</v>
      </c>
      <c r="Q46" s="158">
        <f>+Q48+Q51+Q54+Q60</f>
        <v>1418109.2</v>
      </c>
      <c r="R46" s="158">
        <f>+R48+R51+R54+R60</f>
        <v>500000</v>
      </c>
      <c r="S46" s="158">
        <f t="shared" si="6"/>
        <v>1776978.1</v>
      </c>
      <c r="T46" s="158">
        <f>+T48+T51+T54+T60</f>
        <v>1276978.1</v>
      </c>
      <c r="U46" s="158">
        <f>+U48+U51+U54+U60</f>
        <v>500000</v>
      </c>
      <c r="V46" s="181"/>
      <c r="W46" s="159"/>
      <c r="X46" s="159"/>
    </row>
    <row r="47" spans="1:24" s="167" customFormat="1" ht="12.75">
      <c r="A47" s="161"/>
      <c r="B47" s="146" t="s">
        <v>5</v>
      </c>
      <c r="C47" s="162"/>
      <c r="D47" s="163">
        <f t="shared" si="12"/>
        <v>0</v>
      </c>
      <c r="E47" s="164"/>
      <c r="F47" s="165"/>
      <c r="G47" s="158">
        <f t="shared" si="7"/>
        <v>0</v>
      </c>
      <c r="H47" s="165"/>
      <c r="I47" s="165"/>
      <c r="J47" s="158">
        <f t="shared" si="8"/>
        <v>0</v>
      </c>
      <c r="K47" s="165"/>
      <c r="L47" s="165"/>
      <c r="M47" s="158">
        <f t="shared" si="9"/>
        <v>0</v>
      </c>
      <c r="N47" s="158">
        <f t="shared" si="10"/>
        <v>0</v>
      </c>
      <c r="O47" s="158">
        <f t="shared" si="11"/>
        <v>0</v>
      </c>
      <c r="P47" s="158">
        <f t="shared" si="5"/>
        <v>0</v>
      </c>
      <c r="Q47" s="165"/>
      <c r="R47" s="165"/>
      <c r="S47" s="158">
        <f t="shared" si="6"/>
        <v>0</v>
      </c>
      <c r="T47" s="165"/>
      <c r="U47" s="165"/>
      <c r="V47" s="180"/>
      <c r="W47" s="166"/>
      <c r="X47" s="166"/>
    </row>
    <row r="48" spans="1:24" s="160" customFormat="1" ht="42">
      <c r="A48" s="154" t="s">
        <v>77</v>
      </c>
      <c r="B48" s="145" t="s">
        <v>78</v>
      </c>
      <c r="C48" s="155" t="s">
        <v>79</v>
      </c>
      <c r="D48" s="163">
        <f t="shared" si="12"/>
        <v>0</v>
      </c>
      <c r="E48" s="157">
        <f>+E50</f>
        <v>0</v>
      </c>
      <c r="F48" s="158">
        <f>+F50</f>
        <v>0</v>
      </c>
      <c r="G48" s="158">
        <f t="shared" si="7"/>
        <v>0</v>
      </c>
      <c r="H48" s="158">
        <f>+H50</f>
        <v>0</v>
      </c>
      <c r="I48" s="158">
        <f>+I50</f>
        <v>0</v>
      </c>
      <c r="J48" s="158">
        <f t="shared" si="8"/>
        <v>0</v>
      </c>
      <c r="K48" s="158">
        <f>+K50</f>
        <v>0</v>
      </c>
      <c r="L48" s="158">
        <f>+L50</f>
        <v>0</v>
      </c>
      <c r="M48" s="158">
        <f t="shared" si="9"/>
        <v>0</v>
      </c>
      <c r="N48" s="158">
        <f t="shared" si="10"/>
        <v>0</v>
      </c>
      <c r="O48" s="158">
        <f t="shared" si="11"/>
        <v>0</v>
      </c>
      <c r="P48" s="158">
        <f t="shared" si="5"/>
        <v>0</v>
      </c>
      <c r="Q48" s="158">
        <f>+Q50</f>
        <v>0</v>
      </c>
      <c r="R48" s="158">
        <f>+R50</f>
        <v>0</v>
      </c>
      <c r="S48" s="158">
        <f t="shared" si="6"/>
        <v>0</v>
      </c>
      <c r="T48" s="158">
        <f>+T50</f>
        <v>0</v>
      </c>
      <c r="U48" s="158">
        <f>+U50</f>
        <v>0</v>
      </c>
      <c r="V48" s="180"/>
      <c r="W48" s="159"/>
      <c r="X48" s="159"/>
    </row>
    <row r="49" spans="1:24" s="167" customFormat="1" ht="12.75">
      <c r="A49" s="161"/>
      <c r="B49" s="146" t="s">
        <v>5</v>
      </c>
      <c r="C49" s="162"/>
      <c r="D49" s="163">
        <f t="shared" si="12"/>
        <v>0</v>
      </c>
      <c r="E49" s="164"/>
      <c r="F49" s="165"/>
      <c r="G49" s="158">
        <f t="shared" si="7"/>
        <v>0</v>
      </c>
      <c r="H49" s="165"/>
      <c r="I49" s="165"/>
      <c r="J49" s="158">
        <f t="shared" si="8"/>
        <v>0</v>
      </c>
      <c r="K49" s="165"/>
      <c r="L49" s="165"/>
      <c r="M49" s="158">
        <f t="shared" si="9"/>
        <v>0</v>
      </c>
      <c r="N49" s="158">
        <f t="shared" si="10"/>
        <v>0</v>
      </c>
      <c r="O49" s="158">
        <f t="shared" si="11"/>
        <v>0</v>
      </c>
      <c r="P49" s="158">
        <f t="shared" si="5"/>
        <v>0</v>
      </c>
      <c r="Q49" s="165"/>
      <c r="R49" s="165"/>
      <c r="S49" s="158">
        <f t="shared" si="6"/>
        <v>0</v>
      </c>
      <c r="T49" s="165"/>
      <c r="U49" s="165"/>
      <c r="V49" s="180"/>
      <c r="W49" s="166"/>
      <c r="X49" s="166"/>
    </row>
    <row r="50" spans="1:24" s="160" customFormat="1" ht="52.5">
      <c r="A50" s="168" t="s">
        <v>80</v>
      </c>
      <c r="B50" s="148" t="s">
        <v>81</v>
      </c>
      <c r="C50" s="169"/>
      <c r="D50" s="163">
        <f t="shared" si="12"/>
        <v>0</v>
      </c>
      <c r="E50" s="164"/>
      <c r="F50" s="165"/>
      <c r="G50" s="158">
        <f t="shared" si="7"/>
        <v>0</v>
      </c>
      <c r="H50" s="165"/>
      <c r="I50" s="165"/>
      <c r="J50" s="158">
        <f t="shared" si="8"/>
        <v>0</v>
      </c>
      <c r="K50" s="165"/>
      <c r="L50" s="165"/>
      <c r="M50" s="158">
        <f t="shared" si="9"/>
        <v>0</v>
      </c>
      <c r="N50" s="158">
        <f t="shared" si="10"/>
        <v>0</v>
      </c>
      <c r="O50" s="158">
        <f t="shared" si="11"/>
        <v>0</v>
      </c>
      <c r="P50" s="158">
        <f t="shared" si="5"/>
        <v>0</v>
      </c>
      <c r="Q50" s="165"/>
      <c r="R50" s="165"/>
      <c r="S50" s="158">
        <f t="shared" si="6"/>
        <v>0</v>
      </c>
      <c r="T50" s="165"/>
      <c r="U50" s="165"/>
      <c r="V50" s="180"/>
      <c r="W50" s="159"/>
      <c r="X50" s="159"/>
    </row>
    <row r="51" spans="1:24" s="160" customFormat="1" ht="42">
      <c r="A51" s="154" t="s">
        <v>82</v>
      </c>
      <c r="B51" s="145" t="s">
        <v>83</v>
      </c>
      <c r="C51" s="155" t="s">
        <v>84</v>
      </c>
      <c r="D51" s="163">
        <f t="shared" si="12"/>
        <v>0</v>
      </c>
      <c r="E51" s="157">
        <f>+E53</f>
        <v>0</v>
      </c>
      <c r="F51" s="158">
        <f>+F53</f>
        <v>0</v>
      </c>
      <c r="G51" s="158">
        <f t="shared" si="7"/>
        <v>0</v>
      </c>
      <c r="H51" s="158">
        <f>+H53</f>
        <v>0</v>
      </c>
      <c r="I51" s="158">
        <f>+I53</f>
        <v>0</v>
      </c>
      <c r="J51" s="158">
        <f t="shared" si="8"/>
        <v>0</v>
      </c>
      <c r="K51" s="158">
        <f>+K53</f>
        <v>0</v>
      </c>
      <c r="L51" s="158">
        <f>+L53</f>
        <v>0</v>
      </c>
      <c r="M51" s="158">
        <f t="shared" si="9"/>
        <v>0</v>
      </c>
      <c r="N51" s="158">
        <f t="shared" si="10"/>
        <v>0</v>
      </c>
      <c r="O51" s="158">
        <f t="shared" si="11"/>
        <v>0</v>
      </c>
      <c r="P51" s="158">
        <f t="shared" si="5"/>
        <v>0</v>
      </c>
      <c r="Q51" s="158">
        <f>+Q53</f>
        <v>0</v>
      </c>
      <c r="R51" s="158">
        <f>+R53</f>
        <v>0</v>
      </c>
      <c r="S51" s="158">
        <f t="shared" si="6"/>
        <v>0</v>
      </c>
      <c r="T51" s="158">
        <f>+T53</f>
        <v>0</v>
      </c>
      <c r="U51" s="158">
        <f>+U53</f>
        <v>0</v>
      </c>
      <c r="V51" s="180"/>
      <c r="W51" s="159"/>
      <c r="X51" s="159"/>
    </row>
    <row r="52" spans="1:24" s="167" customFormat="1" ht="12.75">
      <c r="A52" s="161"/>
      <c r="B52" s="146" t="s">
        <v>5</v>
      </c>
      <c r="C52" s="162"/>
      <c r="D52" s="163">
        <f t="shared" si="12"/>
        <v>0</v>
      </c>
      <c r="E52" s="164"/>
      <c r="F52" s="165"/>
      <c r="G52" s="158">
        <f t="shared" si="7"/>
        <v>0</v>
      </c>
      <c r="H52" s="165"/>
      <c r="I52" s="165"/>
      <c r="J52" s="158">
        <f t="shared" si="8"/>
        <v>0</v>
      </c>
      <c r="K52" s="165"/>
      <c r="L52" s="165"/>
      <c r="M52" s="158">
        <f t="shared" si="9"/>
        <v>0</v>
      </c>
      <c r="N52" s="158">
        <f t="shared" si="10"/>
        <v>0</v>
      </c>
      <c r="O52" s="158">
        <f t="shared" si="11"/>
        <v>0</v>
      </c>
      <c r="P52" s="158">
        <f t="shared" si="5"/>
        <v>0</v>
      </c>
      <c r="Q52" s="165"/>
      <c r="R52" s="165"/>
      <c r="S52" s="158">
        <f t="shared" si="6"/>
        <v>0</v>
      </c>
      <c r="T52" s="165"/>
      <c r="U52" s="165"/>
      <c r="V52" s="180"/>
      <c r="W52" s="166"/>
      <c r="X52" s="166"/>
    </row>
    <row r="53" spans="1:24" s="160" customFormat="1" ht="52.5">
      <c r="A53" s="168" t="s">
        <v>85</v>
      </c>
      <c r="B53" s="148" t="s">
        <v>86</v>
      </c>
      <c r="C53" s="169" t="s">
        <v>10</v>
      </c>
      <c r="D53" s="163">
        <f t="shared" si="12"/>
        <v>0</v>
      </c>
      <c r="E53" s="164"/>
      <c r="F53" s="165"/>
      <c r="G53" s="158">
        <f t="shared" si="7"/>
        <v>0</v>
      </c>
      <c r="H53" s="165"/>
      <c r="I53" s="165"/>
      <c r="J53" s="158">
        <f t="shared" si="8"/>
        <v>0</v>
      </c>
      <c r="K53" s="165"/>
      <c r="L53" s="165"/>
      <c r="M53" s="158">
        <f t="shared" si="9"/>
        <v>0</v>
      </c>
      <c r="N53" s="158">
        <f t="shared" si="10"/>
        <v>0</v>
      </c>
      <c r="O53" s="158">
        <f t="shared" si="11"/>
        <v>0</v>
      </c>
      <c r="P53" s="158">
        <f t="shared" si="5"/>
        <v>0</v>
      </c>
      <c r="Q53" s="165"/>
      <c r="R53" s="165"/>
      <c r="S53" s="158">
        <f t="shared" si="6"/>
        <v>0</v>
      </c>
      <c r="T53" s="165"/>
      <c r="U53" s="165"/>
      <c r="V53" s="180"/>
      <c r="W53" s="159"/>
      <c r="X53" s="159"/>
    </row>
    <row r="54" spans="1:24" s="160" customFormat="1" ht="63">
      <c r="A54" s="154" t="s">
        <v>87</v>
      </c>
      <c r="B54" s="145" t="s">
        <v>88</v>
      </c>
      <c r="C54" s="155" t="s">
        <v>89</v>
      </c>
      <c r="D54" s="163">
        <f t="shared" si="12"/>
        <v>1551174</v>
      </c>
      <c r="E54" s="157">
        <f>+E56+E57+E59</f>
        <v>1551174</v>
      </c>
      <c r="F54" s="158">
        <f>+F56+F59</f>
        <v>0</v>
      </c>
      <c r="G54" s="158">
        <f t="shared" si="7"/>
        <v>1582135.5</v>
      </c>
      <c r="H54" s="158">
        <f>+H56+H59</f>
        <v>1582135.5</v>
      </c>
      <c r="I54" s="158">
        <f>+I56+I59</f>
        <v>0</v>
      </c>
      <c r="J54" s="158">
        <f t="shared" si="8"/>
        <v>2074921.6</v>
      </c>
      <c r="K54" s="158">
        <f>+K56+K59</f>
        <v>1574921.6</v>
      </c>
      <c r="L54" s="158">
        <f>+L56+L59</f>
        <v>500000</v>
      </c>
      <c r="M54" s="158">
        <f t="shared" si="9"/>
        <v>492786.1000000001</v>
      </c>
      <c r="N54" s="158">
        <f t="shared" si="10"/>
        <v>-7213.899999999907</v>
      </c>
      <c r="O54" s="158">
        <f t="shared" si="11"/>
        <v>500000</v>
      </c>
      <c r="P54" s="158">
        <f t="shared" si="5"/>
        <v>1918109.2</v>
      </c>
      <c r="Q54" s="158">
        <f>+Q56+Q59</f>
        <v>1418109.2</v>
      </c>
      <c r="R54" s="158">
        <f>+R56+R59</f>
        <v>500000</v>
      </c>
      <c r="S54" s="158">
        <f t="shared" si="6"/>
        <v>1776978.1</v>
      </c>
      <c r="T54" s="158">
        <f>+T56+T59</f>
        <v>1276978.1</v>
      </c>
      <c r="U54" s="158">
        <f>+U56+U59</f>
        <v>500000</v>
      </c>
      <c r="V54" s="180"/>
      <c r="W54" s="159"/>
      <c r="X54" s="159"/>
    </row>
    <row r="55" spans="1:24" s="167" customFormat="1" ht="12.75">
      <c r="A55" s="161"/>
      <c r="B55" s="146" t="s">
        <v>5</v>
      </c>
      <c r="C55" s="162"/>
      <c r="D55" s="163">
        <f t="shared" si="12"/>
        <v>0</v>
      </c>
      <c r="E55" s="164"/>
      <c r="F55" s="165"/>
      <c r="G55" s="158">
        <f t="shared" si="7"/>
        <v>0</v>
      </c>
      <c r="H55" s="165"/>
      <c r="I55" s="165"/>
      <c r="J55" s="158">
        <f t="shared" si="8"/>
        <v>0</v>
      </c>
      <c r="K55" s="165"/>
      <c r="L55" s="165"/>
      <c r="M55" s="158">
        <f t="shared" si="9"/>
        <v>0</v>
      </c>
      <c r="N55" s="158">
        <f t="shared" si="10"/>
        <v>0</v>
      </c>
      <c r="O55" s="158">
        <f t="shared" si="11"/>
        <v>0</v>
      </c>
      <c r="P55" s="158">
        <f t="shared" si="5"/>
        <v>0</v>
      </c>
      <c r="Q55" s="165"/>
      <c r="R55" s="165"/>
      <c r="S55" s="158">
        <f t="shared" si="6"/>
        <v>0</v>
      </c>
      <c r="T55" s="165"/>
      <c r="U55" s="165"/>
      <c r="V55" s="180"/>
      <c r="W55" s="166"/>
      <c r="X55" s="166"/>
    </row>
    <row r="56" spans="1:24" s="167" customFormat="1" ht="165.75">
      <c r="A56" s="161" t="s">
        <v>90</v>
      </c>
      <c r="B56" s="146" t="s">
        <v>91</v>
      </c>
      <c r="C56" s="162" t="s">
        <v>10</v>
      </c>
      <c r="D56" s="163">
        <f t="shared" si="12"/>
        <v>1544435.6</v>
      </c>
      <c r="E56" s="164">
        <v>1544435.6</v>
      </c>
      <c r="F56" s="165"/>
      <c r="G56" s="158">
        <f t="shared" si="7"/>
        <v>1575337.5</v>
      </c>
      <c r="H56" s="165">
        <v>1575337.5</v>
      </c>
      <c r="I56" s="165"/>
      <c r="J56" s="158">
        <f t="shared" si="8"/>
        <v>1568123.6</v>
      </c>
      <c r="K56" s="165">
        <v>1568123.6</v>
      </c>
      <c r="L56" s="165"/>
      <c r="M56" s="158">
        <f t="shared" si="9"/>
        <v>-7213.899999999907</v>
      </c>
      <c r="N56" s="158">
        <f t="shared" si="10"/>
        <v>-7213.899999999907</v>
      </c>
      <c r="O56" s="158">
        <f t="shared" si="11"/>
        <v>0</v>
      </c>
      <c r="P56" s="158">
        <f t="shared" si="5"/>
        <v>1411311.2</v>
      </c>
      <c r="Q56" s="165">
        <v>1411311.2</v>
      </c>
      <c r="R56" s="165"/>
      <c r="S56" s="158">
        <f t="shared" si="6"/>
        <v>1270180.1</v>
      </c>
      <c r="T56" s="165">
        <v>1270180.1</v>
      </c>
      <c r="U56" s="165"/>
      <c r="V56" s="180" t="s">
        <v>740</v>
      </c>
      <c r="W56" s="166"/>
      <c r="X56" s="166"/>
    </row>
    <row r="57" spans="1:24" s="167" customFormat="1" ht="21">
      <c r="A57" s="161">
        <v>1252</v>
      </c>
      <c r="B57" s="146" t="s">
        <v>696</v>
      </c>
      <c r="C57" s="162"/>
      <c r="D57" s="163">
        <f t="shared" si="12"/>
        <v>306</v>
      </c>
      <c r="E57" s="164">
        <f>+E58</f>
        <v>306</v>
      </c>
      <c r="F57" s="164">
        <f>+F58</f>
        <v>0</v>
      </c>
      <c r="G57" s="164">
        <f>+G58</f>
        <v>0</v>
      </c>
      <c r="H57" s="164">
        <f>+H58</f>
        <v>0</v>
      </c>
      <c r="I57" s="164">
        <f>+I58</f>
        <v>0</v>
      </c>
      <c r="J57" s="158">
        <f t="shared" si="8"/>
        <v>0</v>
      </c>
      <c r="K57" s="164">
        <f>+K58</f>
        <v>0</v>
      </c>
      <c r="L57" s="164">
        <f>+L58</f>
        <v>0</v>
      </c>
      <c r="M57" s="158">
        <f t="shared" si="9"/>
        <v>0</v>
      </c>
      <c r="N57" s="158">
        <f t="shared" si="10"/>
        <v>0</v>
      </c>
      <c r="O57" s="158">
        <f t="shared" si="11"/>
        <v>0</v>
      </c>
      <c r="P57" s="158">
        <f t="shared" si="5"/>
        <v>0</v>
      </c>
      <c r="Q57" s="164">
        <f>+Q58</f>
        <v>0</v>
      </c>
      <c r="R57" s="164">
        <f>+R58</f>
        <v>0</v>
      </c>
      <c r="S57" s="158">
        <f t="shared" si="6"/>
        <v>0</v>
      </c>
      <c r="T57" s="164">
        <f>+T58</f>
        <v>0</v>
      </c>
      <c r="U57" s="164">
        <f>+U58</f>
        <v>0</v>
      </c>
      <c r="V57" s="180"/>
      <c r="W57" s="166"/>
      <c r="X57" s="166"/>
    </row>
    <row r="58" spans="1:24" s="167" customFormat="1" ht="52.5">
      <c r="A58" s="161">
        <v>1253</v>
      </c>
      <c r="B58" s="146" t="s">
        <v>697</v>
      </c>
      <c r="C58" s="162"/>
      <c r="D58" s="163">
        <f t="shared" si="12"/>
        <v>306</v>
      </c>
      <c r="E58" s="164">
        <v>306</v>
      </c>
      <c r="F58" s="165"/>
      <c r="G58" s="158"/>
      <c r="H58" s="165"/>
      <c r="I58" s="165"/>
      <c r="J58" s="158">
        <f t="shared" si="8"/>
        <v>0</v>
      </c>
      <c r="K58" s="165"/>
      <c r="L58" s="165"/>
      <c r="M58" s="158">
        <f t="shared" si="9"/>
        <v>0</v>
      </c>
      <c r="N58" s="158">
        <f t="shared" si="10"/>
        <v>0</v>
      </c>
      <c r="O58" s="158">
        <f t="shared" si="11"/>
        <v>0</v>
      </c>
      <c r="P58" s="158">
        <f t="shared" si="5"/>
        <v>0</v>
      </c>
      <c r="Q58" s="165"/>
      <c r="R58" s="165"/>
      <c r="S58" s="158">
        <f t="shared" si="6"/>
        <v>0</v>
      </c>
      <c r="T58" s="165"/>
      <c r="U58" s="165"/>
      <c r="V58" s="180"/>
      <c r="W58" s="166"/>
      <c r="X58" s="166"/>
    </row>
    <row r="59" spans="1:24" s="167" customFormat="1" ht="31.5">
      <c r="A59" s="161" t="s">
        <v>92</v>
      </c>
      <c r="B59" s="146" t="s">
        <v>93</v>
      </c>
      <c r="C59" s="162" t="s">
        <v>10</v>
      </c>
      <c r="D59" s="163">
        <f t="shared" si="12"/>
        <v>6432.4</v>
      </c>
      <c r="E59" s="164">
        <v>6432.4</v>
      </c>
      <c r="F59" s="165"/>
      <c r="G59" s="158">
        <f aca="true" t="shared" si="13" ref="G59:G70">+H59+I59</f>
        <v>6798</v>
      </c>
      <c r="H59" s="165">
        <v>6798</v>
      </c>
      <c r="I59" s="165"/>
      <c r="J59" s="158">
        <f t="shared" si="8"/>
        <v>506798</v>
      </c>
      <c r="K59" s="165">
        <v>6798</v>
      </c>
      <c r="L59" s="165">
        <v>500000</v>
      </c>
      <c r="M59" s="158">
        <f t="shared" si="9"/>
        <v>500000</v>
      </c>
      <c r="N59" s="158">
        <f t="shared" si="10"/>
        <v>0</v>
      </c>
      <c r="O59" s="158">
        <f t="shared" si="11"/>
        <v>500000</v>
      </c>
      <c r="P59" s="158">
        <f t="shared" si="5"/>
        <v>506798</v>
      </c>
      <c r="Q59" s="165">
        <v>6798</v>
      </c>
      <c r="R59" s="165">
        <v>500000</v>
      </c>
      <c r="S59" s="158">
        <f t="shared" si="6"/>
        <v>506798</v>
      </c>
      <c r="T59" s="165">
        <v>6798</v>
      </c>
      <c r="U59" s="165">
        <v>500000</v>
      </c>
      <c r="V59" s="180"/>
      <c r="W59" s="166"/>
      <c r="X59" s="166"/>
    </row>
    <row r="60" spans="1:24" s="160" customFormat="1" ht="52.5">
      <c r="A60" s="154" t="s">
        <v>94</v>
      </c>
      <c r="B60" s="145" t="s">
        <v>95</v>
      </c>
      <c r="C60" s="155" t="s">
        <v>96</v>
      </c>
      <c r="D60" s="163">
        <f t="shared" si="12"/>
        <v>514988.921</v>
      </c>
      <c r="E60" s="157">
        <f>+E62</f>
        <v>0</v>
      </c>
      <c r="F60" s="158">
        <f>+F62</f>
        <v>514988.921</v>
      </c>
      <c r="G60" s="158">
        <f t="shared" si="13"/>
        <v>0</v>
      </c>
      <c r="H60" s="158">
        <f>+H62</f>
        <v>0</v>
      </c>
      <c r="I60" s="158">
        <f>+I62</f>
        <v>0</v>
      </c>
      <c r="J60" s="158">
        <f t="shared" si="8"/>
        <v>0</v>
      </c>
      <c r="K60" s="158">
        <f>+K62</f>
        <v>0</v>
      </c>
      <c r="L60" s="158">
        <f>+L62</f>
        <v>0</v>
      </c>
      <c r="M60" s="158">
        <f t="shared" si="9"/>
        <v>0</v>
      </c>
      <c r="N60" s="158">
        <f t="shared" si="10"/>
        <v>0</v>
      </c>
      <c r="O60" s="158">
        <f t="shared" si="11"/>
        <v>0</v>
      </c>
      <c r="P60" s="158">
        <f t="shared" si="5"/>
        <v>0</v>
      </c>
      <c r="Q60" s="158">
        <f>+Q62</f>
        <v>0</v>
      </c>
      <c r="R60" s="158">
        <f>+R62</f>
        <v>0</v>
      </c>
      <c r="S60" s="158">
        <f t="shared" si="6"/>
        <v>0</v>
      </c>
      <c r="T60" s="158">
        <f>+T62</f>
        <v>0</v>
      </c>
      <c r="U60" s="158">
        <f>+U62</f>
        <v>0</v>
      </c>
      <c r="V60" s="180"/>
      <c r="W60" s="159"/>
      <c r="X60" s="159"/>
    </row>
    <row r="61" spans="1:24" s="167" customFormat="1" ht="12.75">
      <c r="A61" s="161"/>
      <c r="B61" s="146" t="s">
        <v>5</v>
      </c>
      <c r="C61" s="162"/>
      <c r="D61" s="163">
        <f t="shared" si="12"/>
        <v>0</v>
      </c>
      <c r="E61" s="164"/>
      <c r="F61" s="165"/>
      <c r="G61" s="158">
        <f t="shared" si="13"/>
        <v>0</v>
      </c>
      <c r="H61" s="165"/>
      <c r="I61" s="165"/>
      <c r="J61" s="158">
        <f t="shared" si="8"/>
        <v>0</v>
      </c>
      <c r="K61" s="165"/>
      <c r="L61" s="165"/>
      <c r="M61" s="158">
        <f t="shared" si="9"/>
        <v>0</v>
      </c>
      <c r="N61" s="158">
        <f t="shared" si="10"/>
        <v>0</v>
      </c>
      <c r="O61" s="158">
        <f t="shared" si="11"/>
        <v>0</v>
      </c>
      <c r="P61" s="158">
        <f t="shared" si="5"/>
        <v>0</v>
      </c>
      <c r="Q61" s="165"/>
      <c r="R61" s="165"/>
      <c r="S61" s="158">
        <f t="shared" si="6"/>
        <v>0</v>
      </c>
      <c r="T61" s="165"/>
      <c r="U61" s="165"/>
      <c r="V61" s="180"/>
      <c r="W61" s="166"/>
      <c r="X61" s="166"/>
    </row>
    <row r="62" spans="1:24" s="167" customFormat="1" ht="31.5">
      <c r="A62" s="161" t="s">
        <v>97</v>
      </c>
      <c r="B62" s="146" t="s">
        <v>98</v>
      </c>
      <c r="C62" s="162" t="s">
        <v>10</v>
      </c>
      <c r="D62" s="163">
        <f t="shared" si="12"/>
        <v>514988.921</v>
      </c>
      <c r="E62" s="164"/>
      <c r="F62" s="165">
        <v>514988.921</v>
      </c>
      <c r="G62" s="158">
        <f t="shared" si="13"/>
        <v>0</v>
      </c>
      <c r="H62" s="165"/>
      <c r="I62" s="165"/>
      <c r="J62" s="158">
        <f t="shared" si="8"/>
        <v>0</v>
      </c>
      <c r="K62" s="165"/>
      <c r="L62" s="165"/>
      <c r="M62" s="158">
        <f t="shared" si="9"/>
        <v>0</v>
      </c>
      <c r="N62" s="158">
        <f t="shared" si="10"/>
        <v>0</v>
      </c>
      <c r="O62" s="158">
        <f t="shared" si="11"/>
        <v>0</v>
      </c>
      <c r="P62" s="158">
        <f t="shared" si="5"/>
        <v>0</v>
      </c>
      <c r="Q62" s="165"/>
      <c r="R62" s="165"/>
      <c r="S62" s="158">
        <f t="shared" si="6"/>
        <v>0</v>
      </c>
      <c r="T62" s="165"/>
      <c r="U62" s="165"/>
      <c r="V62" s="180"/>
      <c r="W62" s="166"/>
      <c r="X62" s="166"/>
    </row>
    <row r="63" spans="1:24" s="160" customFormat="1" ht="52.5">
      <c r="A63" s="154" t="s">
        <v>99</v>
      </c>
      <c r="B63" s="145" t="s">
        <v>100</v>
      </c>
      <c r="C63" s="155" t="s">
        <v>101</v>
      </c>
      <c r="D63" s="163">
        <f>+E63+F63-F63</f>
        <v>676169.3999999999</v>
      </c>
      <c r="E63" s="157">
        <f>+E65+E68+E74+E78+E100+E104+E107+E110</f>
        <v>676169.3999999999</v>
      </c>
      <c r="F63" s="158">
        <f>+F65+F68+F74+F78+F100+F104+F107+F110</f>
        <v>59064.2</v>
      </c>
      <c r="G63" s="158">
        <f t="shared" si="13"/>
        <v>630463</v>
      </c>
      <c r="H63" s="158">
        <f>+H65+H68+H74+H78+H100+H104+H107+H110</f>
        <v>630463</v>
      </c>
      <c r="I63" s="158">
        <f>+I65+I68+I74+I78+I100+I104+I107+I110</f>
        <v>0</v>
      </c>
      <c r="J63" s="158">
        <f t="shared" si="8"/>
        <v>739603</v>
      </c>
      <c r="K63" s="158">
        <f>+K65+K68+K74+K78+K100+K104+K107+K110</f>
        <v>739603</v>
      </c>
      <c r="L63" s="158">
        <f>+L65+L68+L74+L78+L100+L104+L107+L110</f>
        <v>0</v>
      </c>
      <c r="M63" s="158">
        <f t="shared" si="9"/>
        <v>109140</v>
      </c>
      <c r="N63" s="158">
        <f t="shared" si="10"/>
        <v>109140</v>
      </c>
      <c r="O63" s="158">
        <f t="shared" si="11"/>
        <v>0</v>
      </c>
      <c r="P63" s="158">
        <f t="shared" si="5"/>
        <v>731303</v>
      </c>
      <c r="Q63" s="158">
        <f>+Q65+Q68+Q74+Q78+Q100+Q104+Q107+Q110</f>
        <v>731303</v>
      </c>
      <c r="R63" s="158">
        <f>+R65+R68+R74+R78+R100+R104+R107+R110</f>
        <v>0</v>
      </c>
      <c r="S63" s="158">
        <f t="shared" si="6"/>
        <v>721303</v>
      </c>
      <c r="T63" s="158">
        <f>+T65+T68+T74+T78+T100+T104+T107+T110</f>
        <v>721303</v>
      </c>
      <c r="U63" s="158">
        <f>+U65+U68+U74+U78+U100+U104+U107+U110</f>
        <v>0</v>
      </c>
      <c r="V63" s="194" t="s">
        <v>744</v>
      </c>
      <c r="W63" s="159"/>
      <c r="X63" s="159"/>
    </row>
    <row r="64" spans="1:24" s="167" customFormat="1" ht="10.5">
      <c r="A64" s="161"/>
      <c r="B64" s="146" t="s">
        <v>5</v>
      </c>
      <c r="C64" s="162"/>
      <c r="D64" s="163">
        <f aca="true" t="shared" si="14" ref="D64:D109">+E64+F64</f>
        <v>0</v>
      </c>
      <c r="E64" s="164"/>
      <c r="F64" s="165"/>
      <c r="G64" s="158">
        <f t="shared" si="13"/>
        <v>0</v>
      </c>
      <c r="H64" s="165"/>
      <c r="I64" s="165"/>
      <c r="J64" s="158">
        <f t="shared" si="8"/>
        <v>0</v>
      </c>
      <c r="K64" s="165"/>
      <c r="L64" s="165"/>
      <c r="M64" s="158">
        <f t="shared" si="9"/>
        <v>0</v>
      </c>
      <c r="N64" s="158">
        <f t="shared" si="10"/>
        <v>0</v>
      </c>
      <c r="O64" s="158">
        <f t="shared" si="11"/>
        <v>0</v>
      </c>
      <c r="P64" s="158">
        <f t="shared" si="5"/>
        <v>0</v>
      </c>
      <c r="Q64" s="165"/>
      <c r="R64" s="165"/>
      <c r="S64" s="158">
        <f t="shared" si="6"/>
        <v>0</v>
      </c>
      <c r="T64" s="165"/>
      <c r="U64" s="165"/>
      <c r="V64" s="195"/>
      <c r="W64" s="166"/>
      <c r="X64" s="166"/>
    </row>
    <row r="65" spans="1:24" s="160" customFormat="1" ht="21">
      <c r="A65" s="154" t="s">
        <v>102</v>
      </c>
      <c r="B65" s="145" t="s">
        <v>103</v>
      </c>
      <c r="C65" s="155" t="s">
        <v>104</v>
      </c>
      <c r="D65" s="163">
        <f t="shared" si="14"/>
        <v>0</v>
      </c>
      <c r="E65" s="157">
        <f>+E67</f>
        <v>0</v>
      </c>
      <c r="F65" s="158">
        <f>+F67</f>
        <v>0</v>
      </c>
      <c r="G65" s="158">
        <f t="shared" si="13"/>
        <v>0</v>
      </c>
      <c r="H65" s="158">
        <f>+H67</f>
        <v>0</v>
      </c>
      <c r="I65" s="158">
        <f>+I67</f>
        <v>0</v>
      </c>
      <c r="J65" s="158">
        <f t="shared" si="8"/>
        <v>0</v>
      </c>
      <c r="K65" s="158">
        <f>+K67</f>
        <v>0</v>
      </c>
      <c r="L65" s="158">
        <f>+L67</f>
        <v>0</v>
      </c>
      <c r="M65" s="158">
        <f t="shared" si="9"/>
        <v>0</v>
      </c>
      <c r="N65" s="158">
        <f t="shared" si="10"/>
        <v>0</v>
      </c>
      <c r="O65" s="158">
        <f t="shared" si="11"/>
        <v>0</v>
      </c>
      <c r="P65" s="158">
        <f t="shared" si="5"/>
        <v>0</v>
      </c>
      <c r="Q65" s="158">
        <f>+Q67</f>
        <v>0</v>
      </c>
      <c r="R65" s="158">
        <f>+R67</f>
        <v>0</v>
      </c>
      <c r="S65" s="158">
        <f t="shared" si="6"/>
        <v>0</v>
      </c>
      <c r="T65" s="158">
        <f>+T67</f>
        <v>0</v>
      </c>
      <c r="U65" s="158">
        <f>+U67</f>
        <v>0</v>
      </c>
      <c r="V65" s="196"/>
      <c r="W65" s="159"/>
      <c r="X65" s="159"/>
    </row>
    <row r="66" spans="1:24" s="167" customFormat="1" ht="12.75">
      <c r="A66" s="161"/>
      <c r="B66" s="146" t="s">
        <v>5</v>
      </c>
      <c r="C66" s="162"/>
      <c r="D66" s="163">
        <f t="shared" si="14"/>
        <v>0</v>
      </c>
      <c r="E66" s="164"/>
      <c r="F66" s="165"/>
      <c r="G66" s="158">
        <f t="shared" si="13"/>
        <v>0</v>
      </c>
      <c r="H66" s="165"/>
      <c r="I66" s="165"/>
      <c r="J66" s="158">
        <f t="shared" si="8"/>
        <v>0</v>
      </c>
      <c r="K66" s="165"/>
      <c r="L66" s="165"/>
      <c r="M66" s="158">
        <f t="shared" si="9"/>
        <v>0</v>
      </c>
      <c r="N66" s="158">
        <f t="shared" si="10"/>
        <v>0</v>
      </c>
      <c r="O66" s="158">
        <f t="shared" si="11"/>
        <v>0</v>
      </c>
      <c r="P66" s="158">
        <f t="shared" si="5"/>
        <v>0</v>
      </c>
      <c r="Q66" s="165"/>
      <c r="R66" s="165"/>
      <c r="S66" s="158">
        <f t="shared" si="6"/>
        <v>0</v>
      </c>
      <c r="T66" s="165"/>
      <c r="U66" s="165"/>
      <c r="V66" s="180"/>
      <c r="W66" s="166"/>
      <c r="X66" s="166"/>
    </row>
    <row r="67" spans="1:24" s="167" customFormat="1" ht="42">
      <c r="A67" s="161" t="s">
        <v>105</v>
      </c>
      <c r="B67" s="146" t="s">
        <v>106</v>
      </c>
      <c r="C67" s="162"/>
      <c r="D67" s="163">
        <f t="shared" si="14"/>
        <v>0</v>
      </c>
      <c r="E67" s="164"/>
      <c r="F67" s="165"/>
      <c r="G67" s="158">
        <f t="shared" si="13"/>
        <v>0</v>
      </c>
      <c r="H67" s="165"/>
      <c r="I67" s="165"/>
      <c r="J67" s="158">
        <f t="shared" si="8"/>
        <v>0</v>
      </c>
      <c r="K67" s="165"/>
      <c r="L67" s="165"/>
      <c r="M67" s="158">
        <f t="shared" si="9"/>
        <v>0</v>
      </c>
      <c r="N67" s="158">
        <f t="shared" si="10"/>
        <v>0</v>
      </c>
      <c r="O67" s="158">
        <f t="shared" si="11"/>
        <v>0</v>
      </c>
      <c r="P67" s="158">
        <f t="shared" si="5"/>
        <v>0</v>
      </c>
      <c r="Q67" s="165"/>
      <c r="R67" s="165"/>
      <c r="S67" s="158">
        <f t="shared" si="6"/>
        <v>0</v>
      </c>
      <c r="T67" s="165"/>
      <c r="U67" s="165"/>
      <c r="V67" s="180"/>
      <c r="W67" s="166"/>
      <c r="X67" s="166"/>
    </row>
    <row r="68" spans="1:24" s="160" customFormat="1" ht="42">
      <c r="A68" s="154" t="s">
        <v>107</v>
      </c>
      <c r="B68" s="145" t="s">
        <v>108</v>
      </c>
      <c r="C68" s="155" t="s">
        <v>109</v>
      </c>
      <c r="D68" s="163">
        <f t="shared" si="14"/>
        <v>53390.6</v>
      </c>
      <c r="E68" s="157">
        <f>+E70+E71+E72+E73</f>
        <v>53390.6</v>
      </c>
      <c r="F68" s="158">
        <f>+F70+F72+F73</f>
        <v>0</v>
      </c>
      <c r="G68" s="158">
        <f t="shared" si="13"/>
        <v>53300</v>
      </c>
      <c r="H68" s="158">
        <f>+H70+H72+H73</f>
        <v>53300</v>
      </c>
      <c r="I68" s="158">
        <f>+I70+I72+I73</f>
        <v>0</v>
      </c>
      <c r="J68" s="158">
        <f t="shared" si="8"/>
        <v>53300</v>
      </c>
      <c r="K68" s="157">
        <f>+K70+K71+K72+K73</f>
        <v>53300</v>
      </c>
      <c r="L68" s="157">
        <f>+L70+L71+L72+L73</f>
        <v>0</v>
      </c>
      <c r="M68" s="158">
        <f t="shared" si="9"/>
        <v>0</v>
      </c>
      <c r="N68" s="158">
        <f t="shared" si="10"/>
        <v>0</v>
      </c>
      <c r="O68" s="158">
        <f t="shared" si="11"/>
        <v>0</v>
      </c>
      <c r="P68" s="158">
        <f t="shared" si="5"/>
        <v>55000</v>
      </c>
      <c r="Q68" s="157">
        <f>+Q70+Q71+Q72+Q73</f>
        <v>55000</v>
      </c>
      <c r="R68" s="157">
        <f>+R70+R71+R72+R73</f>
        <v>0</v>
      </c>
      <c r="S68" s="158">
        <f t="shared" si="6"/>
        <v>55000</v>
      </c>
      <c r="T68" s="157">
        <f>+T70+T71+T72+T73</f>
        <v>55000</v>
      </c>
      <c r="U68" s="157">
        <f>+U70+U71+U72+U73</f>
        <v>0</v>
      </c>
      <c r="V68" s="180"/>
      <c r="W68" s="159"/>
      <c r="X68" s="159"/>
    </row>
    <row r="69" spans="1:24" s="167" customFormat="1" ht="12.75">
      <c r="A69" s="161"/>
      <c r="B69" s="146" t="s">
        <v>5</v>
      </c>
      <c r="C69" s="162"/>
      <c r="D69" s="163">
        <f t="shared" si="14"/>
        <v>0</v>
      </c>
      <c r="E69" s="164"/>
      <c r="F69" s="165"/>
      <c r="G69" s="158">
        <f t="shared" si="13"/>
        <v>0</v>
      </c>
      <c r="H69" s="165"/>
      <c r="I69" s="165"/>
      <c r="J69" s="158">
        <f t="shared" si="8"/>
        <v>0</v>
      </c>
      <c r="K69" s="165"/>
      <c r="L69" s="165"/>
      <c r="M69" s="158">
        <f t="shared" si="9"/>
        <v>0</v>
      </c>
      <c r="N69" s="158">
        <f t="shared" si="10"/>
        <v>0</v>
      </c>
      <c r="O69" s="158">
        <f t="shared" si="11"/>
        <v>0</v>
      </c>
      <c r="P69" s="158">
        <f t="shared" si="5"/>
        <v>0</v>
      </c>
      <c r="Q69" s="165"/>
      <c r="R69" s="165"/>
      <c r="S69" s="158">
        <f t="shared" si="6"/>
        <v>0</v>
      </c>
      <c r="T69" s="165"/>
      <c r="U69" s="165"/>
      <c r="V69" s="180"/>
      <c r="W69" s="166"/>
      <c r="X69" s="166"/>
    </row>
    <row r="70" spans="1:24" s="167" customFormat="1" ht="21">
      <c r="A70" s="161" t="s">
        <v>110</v>
      </c>
      <c r="B70" s="146" t="s">
        <v>111</v>
      </c>
      <c r="C70" s="162" t="s">
        <v>10</v>
      </c>
      <c r="D70" s="163">
        <f t="shared" si="14"/>
        <v>36887.6</v>
      </c>
      <c r="E70" s="164">
        <v>36887.6</v>
      </c>
      <c r="F70" s="165"/>
      <c r="G70" s="158">
        <f t="shared" si="13"/>
        <v>37300</v>
      </c>
      <c r="H70" s="165">
        <v>37300</v>
      </c>
      <c r="I70" s="165"/>
      <c r="J70" s="158">
        <f t="shared" si="8"/>
        <v>37300</v>
      </c>
      <c r="K70" s="165">
        <v>37300</v>
      </c>
      <c r="L70" s="165"/>
      <c r="M70" s="158">
        <f t="shared" si="9"/>
        <v>0</v>
      </c>
      <c r="N70" s="158">
        <f t="shared" si="10"/>
        <v>0</v>
      </c>
      <c r="O70" s="158">
        <f t="shared" si="11"/>
        <v>0</v>
      </c>
      <c r="P70" s="158">
        <f t="shared" si="5"/>
        <v>35000</v>
      </c>
      <c r="Q70" s="165">
        <v>35000</v>
      </c>
      <c r="R70" s="165"/>
      <c r="S70" s="158">
        <f t="shared" si="6"/>
        <v>30000</v>
      </c>
      <c r="T70" s="165">
        <v>30000</v>
      </c>
      <c r="U70" s="165"/>
      <c r="V70" s="180"/>
      <c r="W70" s="166"/>
      <c r="X70" s="166"/>
    </row>
    <row r="71" spans="1:24" s="167" customFormat="1" ht="31.5">
      <c r="A71" s="161">
        <v>1332</v>
      </c>
      <c r="B71" s="146" t="s">
        <v>698</v>
      </c>
      <c r="C71" s="162"/>
      <c r="D71" s="163">
        <f t="shared" si="14"/>
        <v>370.5</v>
      </c>
      <c r="E71" s="164">
        <v>370.5</v>
      </c>
      <c r="F71" s="165"/>
      <c r="G71" s="158"/>
      <c r="H71" s="165"/>
      <c r="I71" s="165"/>
      <c r="J71" s="158">
        <f t="shared" si="8"/>
        <v>0</v>
      </c>
      <c r="K71" s="165"/>
      <c r="L71" s="165"/>
      <c r="M71" s="158">
        <f t="shared" si="9"/>
        <v>0</v>
      </c>
      <c r="N71" s="158">
        <f t="shared" si="10"/>
        <v>0</v>
      </c>
      <c r="O71" s="158">
        <f t="shared" si="11"/>
        <v>0</v>
      </c>
      <c r="P71" s="158">
        <f t="shared" si="5"/>
        <v>0</v>
      </c>
      <c r="Q71" s="165"/>
      <c r="R71" s="165"/>
      <c r="S71" s="158">
        <f t="shared" si="6"/>
        <v>0</v>
      </c>
      <c r="T71" s="165"/>
      <c r="U71" s="165"/>
      <c r="V71" s="180"/>
      <c r="W71" s="166"/>
      <c r="X71" s="166"/>
    </row>
    <row r="72" spans="1:24" s="167" customFormat="1" ht="52.5">
      <c r="A72" s="161" t="s">
        <v>112</v>
      </c>
      <c r="B72" s="146" t="s">
        <v>113</v>
      </c>
      <c r="C72" s="162" t="s">
        <v>10</v>
      </c>
      <c r="D72" s="163">
        <f t="shared" si="14"/>
        <v>0</v>
      </c>
      <c r="E72" s="164"/>
      <c r="F72" s="165"/>
      <c r="G72" s="158">
        <f>+H72+I72</f>
        <v>0</v>
      </c>
      <c r="H72" s="165"/>
      <c r="I72" s="165"/>
      <c r="J72" s="158">
        <f t="shared" si="8"/>
        <v>0</v>
      </c>
      <c r="K72" s="165"/>
      <c r="L72" s="165"/>
      <c r="M72" s="158">
        <f t="shared" si="9"/>
        <v>0</v>
      </c>
      <c r="N72" s="158">
        <f t="shared" si="10"/>
        <v>0</v>
      </c>
      <c r="O72" s="158">
        <f t="shared" si="11"/>
        <v>0</v>
      </c>
      <c r="P72" s="158">
        <f t="shared" si="5"/>
        <v>0</v>
      </c>
      <c r="Q72" s="165"/>
      <c r="R72" s="165"/>
      <c r="S72" s="158">
        <f t="shared" si="6"/>
        <v>0</v>
      </c>
      <c r="T72" s="165"/>
      <c r="U72" s="165"/>
      <c r="V72" s="180"/>
      <c r="W72" s="166"/>
      <c r="X72" s="166"/>
    </row>
    <row r="73" spans="1:24" s="167" customFormat="1" ht="12.75">
      <c r="A73" s="161" t="s">
        <v>114</v>
      </c>
      <c r="B73" s="146" t="s">
        <v>115</v>
      </c>
      <c r="C73" s="162" t="s">
        <v>10</v>
      </c>
      <c r="D73" s="163">
        <f t="shared" si="14"/>
        <v>16132.5</v>
      </c>
      <c r="E73" s="164">
        <v>16132.5</v>
      </c>
      <c r="F73" s="165"/>
      <c r="G73" s="158">
        <f>+H73+I73</f>
        <v>16000</v>
      </c>
      <c r="H73" s="165">
        <v>16000</v>
      </c>
      <c r="I73" s="165"/>
      <c r="J73" s="158">
        <f t="shared" si="8"/>
        <v>16000</v>
      </c>
      <c r="K73" s="165">
        <v>16000</v>
      </c>
      <c r="L73" s="165"/>
      <c r="M73" s="158">
        <f t="shared" si="9"/>
        <v>0</v>
      </c>
      <c r="N73" s="158">
        <f t="shared" si="10"/>
        <v>0</v>
      </c>
      <c r="O73" s="158">
        <f t="shared" si="11"/>
        <v>0</v>
      </c>
      <c r="P73" s="158">
        <f t="shared" si="5"/>
        <v>20000</v>
      </c>
      <c r="Q73" s="165">
        <v>20000</v>
      </c>
      <c r="R73" s="165"/>
      <c r="S73" s="158">
        <f t="shared" si="6"/>
        <v>25000</v>
      </c>
      <c r="T73" s="165">
        <v>25000</v>
      </c>
      <c r="U73" s="165"/>
      <c r="V73" s="180"/>
      <c r="W73" s="166"/>
      <c r="X73" s="166"/>
    </row>
    <row r="74" spans="1:24" s="160" customFormat="1" ht="52.5">
      <c r="A74" s="154" t="s">
        <v>116</v>
      </c>
      <c r="B74" s="145" t="s">
        <v>117</v>
      </c>
      <c r="C74" s="155" t="s">
        <v>118</v>
      </c>
      <c r="D74" s="163">
        <f t="shared" si="14"/>
        <v>10257.4</v>
      </c>
      <c r="E74" s="157">
        <f>+E76+E77</f>
        <v>10257.4</v>
      </c>
      <c r="F74" s="158">
        <f>+F76</f>
        <v>0</v>
      </c>
      <c r="G74" s="158">
        <f>+H74+I74</f>
        <v>3618</v>
      </c>
      <c r="H74" s="158">
        <f>+H76</f>
        <v>3618</v>
      </c>
      <c r="I74" s="158">
        <f>+I76</f>
        <v>0</v>
      </c>
      <c r="J74" s="158">
        <f aca="true" t="shared" si="15" ref="J74:J105">+K74+L74</f>
        <v>3618</v>
      </c>
      <c r="K74" s="158">
        <f>+K76</f>
        <v>3618</v>
      </c>
      <c r="L74" s="158">
        <f>+L76</f>
        <v>0</v>
      </c>
      <c r="M74" s="158">
        <f aca="true" t="shared" si="16" ref="M74:M105">+J74-G74</f>
        <v>0</v>
      </c>
      <c r="N74" s="158">
        <f aca="true" t="shared" si="17" ref="N74:N105">+K74-H74</f>
        <v>0</v>
      </c>
      <c r="O74" s="158">
        <f aca="true" t="shared" si="18" ref="O74:O105">+L74-I74</f>
        <v>0</v>
      </c>
      <c r="P74" s="158">
        <f t="shared" si="5"/>
        <v>3618</v>
      </c>
      <c r="Q74" s="158">
        <f>+Q76</f>
        <v>3618</v>
      </c>
      <c r="R74" s="158">
        <f>+R76</f>
        <v>0</v>
      </c>
      <c r="S74" s="158">
        <f t="shared" si="6"/>
        <v>3618</v>
      </c>
      <c r="T74" s="158">
        <f>+T76</f>
        <v>3618</v>
      </c>
      <c r="U74" s="158">
        <f>+U76</f>
        <v>0</v>
      </c>
      <c r="V74" s="180"/>
      <c r="W74" s="159"/>
      <c r="X74" s="159"/>
    </row>
    <row r="75" spans="1:24" s="167" customFormat="1" ht="12.75">
      <c r="A75" s="161"/>
      <c r="B75" s="146" t="s">
        <v>5</v>
      </c>
      <c r="C75" s="162"/>
      <c r="D75" s="163">
        <f t="shared" si="14"/>
        <v>0</v>
      </c>
      <c r="E75" s="164"/>
      <c r="F75" s="165"/>
      <c r="G75" s="158">
        <f>+H75+I75</f>
        <v>0</v>
      </c>
      <c r="H75" s="165"/>
      <c r="I75" s="165"/>
      <c r="J75" s="158">
        <f t="shared" si="15"/>
        <v>0</v>
      </c>
      <c r="K75" s="165"/>
      <c r="L75" s="165"/>
      <c r="M75" s="158">
        <f t="shared" si="16"/>
        <v>0</v>
      </c>
      <c r="N75" s="158">
        <f t="shared" si="17"/>
        <v>0</v>
      </c>
      <c r="O75" s="158">
        <f t="shared" si="18"/>
        <v>0</v>
      </c>
      <c r="P75" s="158">
        <f aca="true" t="shared" si="19" ref="P75:P114">+Q75+R75</f>
        <v>0</v>
      </c>
      <c r="Q75" s="165"/>
      <c r="R75" s="165"/>
      <c r="S75" s="158">
        <f aca="true" t="shared" si="20" ref="S75:S114">+T75+U75</f>
        <v>0</v>
      </c>
      <c r="T75" s="165"/>
      <c r="U75" s="165"/>
      <c r="V75" s="180"/>
      <c r="W75" s="166"/>
      <c r="X75" s="166"/>
    </row>
    <row r="76" spans="1:24" s="167" customFormat="1" ht="63">
      <c r="A76" s="161" t="s">
        <v>119</v>
      </c>
      <c r="B76" s="146" t="s">
        <v>120</v>
      </c>
      <c r="C76" s="162"/>
      <c r="D76" s="163">
        <f t="shared" si="14"/>
        <v>5561.4</v>
      </c>
      <c r="E76" s="164">
        <v>5561.4</v>
      </c>
      <c r="F76" s="165"/>
      <c r="G76" s="158">
        <f>+H76+I76</f>
        <v>3618</v>
      </c>
      <c r="H76" s="165">
        <v>3618</v>
      </c>
      <c r="I76" s="165"/>
      <c r="J76" s="158">
        <f t="shared" si="15"/>
        <v>3618</v>
      </c>
      <c r="K76" s="165">
        <v>3618</v>
      </c>
      <c r="L76" s="165"/>
      <c r="M76" s="158">
        <f t="shared" si="16"/>
        <v>0</v>
      </c>
      <c r="N76" s="158">
        <f t="shared" si="17"/>
        <v>0</v>
      </c>
      <c r="O76" s="158">
        <f t="shared" si="18"/>
        <v>0</v>
      </c>
      <c r="P76" s="158">
        <f t="shared" si="19"/>
        <v>3618</v>
      </c>
      <c r="Q76" s="165">
        <v>3618</v>
      </c>
      <c r="R76" s="165"/>
      <c r="S76" s="158">
        <f t="shared" si="20"/>
        <v>3618</v>
      </c>
      <c r="T76" s="165">
        <v>3618</v>
      </c>
      <c r="U76" s="165"/>
      <c r="V76" s="180"/>
      <c r="W76" s="166"/>
      <c r="X76" s="166"/>
    </row>
    <row r="77" spans="1:24" s="167" customFormat="1" ht="63">
      <c r="A77" s="161">
        <v>1343</v>
      </c>
      <c r="B77" s="146" t="s">
        <v>699</v>
      </c>
      <c r="C77" s="162"/>
      <c r="D77" s="163">
        <f t="shared" si="14"/>
        <v>4696</v>
      </c>
      <c r="E77" s="164">
        <v>4696</v>
      </c>
      <c r="F77" s="165"/>
      <c r="G77" s="158"/>
      <c r="H77" s="165"/>
      <c r="I77" s="165"/>
      <c r="J77" s="158">
        <f t="shared" si="15"/>
        <v>0</v>
      </c>
      <c r="K77" s="165"/>
      <c r="L77" s="165"/>
      <c r="M77" s="158">
        <f t="shared" si="16"/>
        <v>0</v>
      </c>
      <c r="N77" s="158">
        <f t="shared" si="17"/>
        <v>0</v>
      </c>
      <c r="O77" s="158">
        <f t="shared" si="18"/>
        <v>0</v>
      </c>
      <c r="P77" s="158">
        <f t="shared" si="19"/>
        <v>0</v>
      </c>
      <c r="Q77" s="165"/>
      <c r="R77" s="165"/>
      <c r="S77" s="158">
        <f t="shared" si="20"/>
        <v>0</v>
      </c>
      <c r="T77" s="165"/>
      <c r="U77" s="165"/>
      <c r="V77" s="180"/>
      <c r="W77" s="166"/>
      <c r="X77" s="166"/>
    </row>
    <row r="78" spans="1:24" s="160" customFormat="1" ht="31.5">
      <c r="A78" s="154" t="s">
        <v>121</v>
      </c>
      <c r="B78" s="145" t="s">
        <v>122</v>
      </c>
      <c r="C78" s="155" t="s">
        <v>123</v>
      </c>
      <c r="D78" s="163">
        <f t="shared" si="14"/>
        <v>504899.8999999999</v>
      </c>
      <c r="E78" s="157">
        <f>+E80+E99</f>
        <v>504899.8999999999</v>
      </c>
      <c r="F78" s="158">
        <f>+F80+F99</f>
        <v>0</v>
      </c>
      <c r="G78" s="158">
        <f aca="true" t="shared" si="21" ref="G78:G88">+H78+I78</f>
        <v>440010</v>
      </c>
      <c r="H78" s="158">
        <f>+H80+H99</f>
        <v>440010</v>
      </c>
      <c r="I78" s="158">
        <f>+I80+I99</f>
        <v>0</v>
      </c>
      <c r="J78" s="158">
        <f t="shared" si="15"/>
        <v>557685</v>
      </c>
      <c r="K78" s="158">
        <f>+K80+K99</f>
        <v>557685</v>
      </c>
      <c r="L78" s="158">
        <f>+L80+L99</f>
        <v>0</v>
      </c>
      <c r="M78" s="158">
        <f t="shared" si="16"/>
        <v>117675</v>
      </c>
      <c r="N78" s="158">
        <f t="shared" si="17"/>
        <v>117675</v>
      </c>
      <c r="O78" s="158">
        <f t="shared" si="18"/>
        <v>0</v>
      </c>
      <c r="P78" s="158">
        <f t="shared" si="19"/>
        <v>557685</v>
      </c>
      <c r="Q78" s="158">
        <f>+Q80+Q99</f>
        <v>557685</v>
      </c>
      <c r="R78" s="158">
        <f>+R80+R99</f>
        <v>0</v>
      </c>
      <c r="S78" s="158">
        <f t="shared" si="20"/>
        <v>557685</v>
      </c>
      <c r="T78" s="158">
        <f>+T80+T99</f>
        <v>557685</v>
      </c>
      <c r="U78" s="158">
        <f>+U80+U99</f>
        <v>0</v>
      </c>
      <c r="V78" s="180"/>
      <c r="W78" s="159"/>
      <c r="X78" s="159"/>
    </row>
    <row r="79" spans="1:24" s="167" customFormat="1" ht="12.75">
      <c r="A79" s="161"/>
      <c r="B79" s="146" t="s">
        <v>5</v>
      </c>
      <c r="C79" s="162"/>
      <c r="D79" s="163">
        <f t="shared" si="14"/>
        <v>0</v>
      </c>
      <c r="E79" s="164"/>
      <c r="F79" s="165"/>
      <c r="G79" s="158">
        <f t="shared" si="21"/>
        <v>0</v>
      </c>
      <c r="H79" s="165"/>
      <c r="I79" s="165"/>
      <c r="J79" s="158">
        <f t="shared" si="15"/>
        <v>0</v>
      </c>
      <c r="K79" s="165"/>
      <c r="L79" s="165"/>
      <c r="M79" s="158">
        <f t="shared" si="16"/>
        <v>0</v>
      </c>
      <c r="N79" s="158">
        <f t="shared" si="17"/>
        <v>0</v>
      </c>
      <c r="O79" s="158">
        <f t="shared" si="18"/>
        <v>0</v>
      </c>
      <c r="P79" s="158">
        <f t="shared" si="19"/>
        <v>0</v>
      </c>
      <c r="Q79" s="165"/>
      <c r="R79" s="165"/>
      <c r="S79" s="158">
        <f t="shared" si="20"/>
        <v>0</v>
      </c>
      <c r="T79" s="165"/>
      <c r="U79" s="165"/>
      <c r="V79" s="180"/>
      <c r="W79" s="166"/>
      <c r="X79" s="166"/>
    </row>
    <row r="80" spans="1:24" s="167" customFormat="1" ht="73.5">
      <c r="A80" s="161" t="s">
        <v>124</v>
      </c>
      <c r="B80" s="146" t="s">
        <v>125</v>
      </c>
      <c r="C80" s="162" t="s">
        <v>10</v>
      </c>
      <c r="D80" s="163">
        <f t="shared" si="14"/>
        <v>311968.79999999993</v>
      </c>
      <c r="E80" s="164">
        <f>+E82+E83+E84+E85+E86+E87+E88+E91+E92+E93+E94+E95+E96+E97+E98+E89+E90</f>
        <v>311968.79999999993</v>
      </c>
      <c r="F80" s="165">
        <f>+F82+F83+F84+F85+F86+F87+F88+F91+F92+F93+F94+F95+F96+F97+F98</f>
        <v>0</v>
      </c>
      <c r="G80" s="158">
        <f t="shared" si="21"/>
        <v>353610</v>
      </c>
      <c r="H80" s="165">
        <f>+H82+H83+H84+H85+H86+H87+H88+H91+H92+H93+H94+H95+H96+H97+H98</f>
        <v>353610</v>
      </c>
      <c r="I80" s="165">
        <f>+I82+I83+I84+I85+I86+I87+I88+I91+I92+I93+I94+I95+I96+I97+I98</f>
        <v>0</v>
      </c>
      <c r="J80" s="158">
        <f t="shared" si="15"/>
        <v>407685</v>
      </c>
      <c r="K80" s="164">
        <f>+K82+K83+K84+K85+K86+K87+K88+K91+K92+K93+K94+K95+K96+K97+K98+K89+K90</f>
        <v>407685</v>
      </c>
      <c r="L80" s="164">
        <f>+L82+L83+L84+L85+L86+L87+L88+L91+L92+L93+L94+L95+L96+L97+L98+L89+L90</f>
        <v>0</v>
      </c>
      <c r="M80" s="158">
        <f t="shared" si="16"/>
        <v>54075</v>
      </c>
      <c r="N80" s="158">
        <f t="shared" si="17"/>
        <v>54075</v>
      </c>
      <c r="O80" s="158">
        <f t="shared" si="18"/>
        <v>0</v>
      </c>
      <c r="P80" s="158">
        <f t="shared" si="19"/>
        <v>407685</v>
      </c>
      <c r="Q80" s="164">
        <f>+Q82+Q83+Q84+Q85+Q86+Q87+Q88+Q91+Q92+Q93+Q94+Q95+Q96+Q97+Q98+Q89+Q90</f>
        <v>407685</v>
      </c>
      <c r="R80" s="164">
        <f>+R82+R83+R84+R85+R86+R87+R88+R91+R92+R93+R94+R95+R96+R97+R98+R89+R90</f>
        <v>0</v>
      </c>
      <c r="S80" s="158">
        <f t="shared" si="20"/>
        <v>407685</v>
      </c>
      <c r="T80" s="164">
        <f>+T82+T83+T84+T85+T86+T87+T88+T91+T92+T93+T94+T95+T96+T97+T98+T89+T90</f>
        <v>407685</v>
      </c>
      <c r="U80" s="164">
        <f>+U82+U83+U84+U85+U86+U87+U88+U91+U92+U93+U94+U95+U96+U97+U98+U89+U90</f>
        <v>0</v>
      </c>
      <c r="V80" s="180"/>
      <c r="W80" s="166"/>
      <c r="X80" s="166"/>
    </row>
    <row r="81" spans="1:24" s="167" customFormat="1" ht="12.75">
      <c r="A81" s="161"/>
      <c r="B81" s="146" t="s">
        <v>5</v>
      </c>
      <c r="C81" s="162"/>
      <c r="D81" s="163">
        <f t="shared" si="14"/>
        <v>0</v>
      </c>
      <c r="E81" s="164"/>
      <c r="F81" s="165"/>
      <c r="G81" s="158">
        <f t="shared" si="21"/>
        <v>0</v>
      </c>
      <c r="H81" s="165"/>
      <c r="I81" s="165"/>
      <c r="J81" s="158">
        <f t="shared" si="15"/>
        <v>0</v>
      </c>
      <c r="K81" s="165"/>
      <c r="L81" s="165"/>
      <c r="M81" s="158">
        <f t="shared" si="16"/>
        <v>0</v>
      </c>
      <c r="N81" s="158">
        <f t="shared" si="17"/>
        <v>0</v>
      </c>
      <c r="O81" s="158">
        <f t="shared" si="18"/>
        <v>0</v>
      </c>
      <c r="P81" s="158">
        <f t="shared" si="19"/>
        <v>0</v>
      </c>
      <c r="Q81" s="165"/>
      <c r="R81" s="165"/>
      <c r="S81" s="158">
        <f t="shared" si="20"/>
        <v>0</v>
      </c>
      <c r="T81" s="165"/>
      <c r="U81" s="165"/>
      <c r="V81" s="180"/>
      <c r="W81" s="166"/>
      <c r="X81" s="166"/>
    </row>
    <row r="82" spans="1:24" s="167" customFormat="1" ht="63">
      <c r="A82" s="161" t="s">
        <v>126</v>
      </c>
      <c r="B82" s="146" t="s">
        <v>127</v>
      </c>
      <c r="C82" s="162" t="s">
        <v>10</v>
      </c>
      <c r="D82" s="163">
        <f t="shared" si="14"/>
        <v>0</v>
      </c>
      <c r="E82" s="164"/>
      <c r="F82" s="165"/>
      <c r="G82" s="158">
        <f t="shared" si="21"/>
        <v>0</v>
      </c>
      <c r="H82" s="165"/>
      <c r="I82" s="165"/>
      <c r="J82" s="158">
        <f t="shared" si="15"/>
        <v>0</v>
      </c>
      <c r="K82" s="165"/>
      <c r="L82" s="165"/>
      <c r="M82" s="158">
        <f t="shared" si="16"/>
        <v>0</v>
      </c>
      <c r="N82" s="158">
        <f t="shared" si="17"/>
        <v>0</v>
      </c>
      <c r="O82" s="158">
        <f t="shared" si="18"/>
        <v>0</v>
      </c>
      <c r="P82" s="158">
        <f t="shared" si="19"/>
        <v>0</v>
      </c>
      <c r="Q82" s="165"/>
      <c r="R82" s="165"/>
      <c r="S82" s="158">
        <f t="shared" si="20"/>
        <v>0</v>
      </c>
      <c r="T82" s="165"/>
      <c r="U82" s="165"/>
      <c r="V82" s="180"/>
      <c r="W82" s="166"/>
      <c r="X82" s="166"/>
    </row>
    <row r="83" spans="1:24" s="167" customFormat="1" ht="84">
      <c r="A83" s="161" t="s">
        <v>128</v>
      </c>
      <c r="B83" s="146" t="s">
        <v>129</v>
      </c>
      <c r="C83" s="162" t="s">
        <v>10</v>
      </c>
      <c r="D83" s="163">
        <f t="shared" si="14"/>
        <v>0</v>
      </c>
      <c r="E83" s="164"/>
      <c r="F83" s="165"/>
      <c r="G83" s="158">
        <f t="shared" si="21"/>
        <v>4185</v>
      </c>
      <c r="H83" s="165">
        <v>4185</v>
      </c>
      <c r="I83" s="165"/>
      <c r="J83" s="158">
        <f t="shared" si="15"/>
        <v>4185</v>
      </c>
      <c r="K83" s="165">
        <v>4185</v>
      </c>
      <c r="L83" s="165"/>
      <c r="M83" s="158">
        <f t="shared" si="16"/>
        <v>0</v>
      </c>
      <c r="N83" s="158">
        <f t="shared" si="17"/>
        <v>0</v>
      </c>
      <c r="O83" s="158">
        <f t="shared" si="18"/>
        <v>0</v>
      </c>
      <c r="P83" s="158">
        <f t="shared" si="19"/>
        <v>4185</v>
      </c>
      <c r="Q83" s="165">
        <v>4185</v>
      </c>
      <c r="R83" s="165"/>
      <c r="S83" s="158">
        <f t="shared" si="20"/>
        <v>4185</v>
      </c>
      <c r="T83" s="165">
        <v>4185</v>
      </c>
      <c r="U83" s="165"/>
      <c r="V83" s="180"/>
      <c r="W83" s="166"/>
      <c r="X83" s="166"/>
    </row>
    <row r="84" spans="1:24" s="167" customFormat="1" ht="52.5">
      <c r="A84" s="161" t="s">
        <v>130</v>
      </c>
      <c r="B84" s="146" t="s">
        <v>131</v>
      </c>
      <c r="C84" s="162" t="s">
        <v>10</v>
      </c>
      <c r="D84" s="163">
        <f t="shared" si="14"/>
        <v>4214.3</v>
      </c>
      <c r="E84" s="164">
        <v>4214.3</v>
      </c>
      <c r="F84" s="165"/>
      <c r="G84" s="158">
        <f t="shared" si="21"/>
        <v>0</v>
      </c>
      <c r="H84" s="165"/>
      <c r="I84" s="165"/>
      <c r="J84" s="158">
        <f t="shared" si="15"/>
        <v>0</v>
      </c>
      <c r="K84" s="165"/>
      <c r="L84" s="165"/>
      <c r="M84" s="158">
        <f t="shared" si="16"/>
        <v>0</v>
      </c>
      <c r="N84" s="158">
        <f t="shared" si="17"/>
        <v>0</v>
      </c>
      <c r="O84" s="158">
        <f t="shared" si="18"/>
        <v>0</v>
      </c>
      <c r="P84" s="158">
        <f t="shared" si="19"/>
        <v>0</v>
      </c>
      <c r="Q84" s="165"/>
      <c r="R84" s="165"/>
      <c r="S84" s="158">
        <f t="shared" si="20"/>
        <v>0</v>
      </c>
      <c r="T84" s="165"/>
      <c r="U84" s="165"/>
      <c r="V84" s="180"/>
      <c r="W84" s="166"/>
      <c r="X84" s="166"/>
    </row>
    <row r="85" spans="1:24" s="167" customFormat="1" ht="63">
      <c r="A85" s="161" t="s">
        <v>132</v>
      </c>
      <c r="B85" s="146" t="s">
        <v>133</v>
      </c>
      <c r="C85" s="162" t="s">
        <v>10</v>
      </c>
      <c r="D85" s="163">
        <f t="shared" si="14"/>
        <v>2217.6</v>
      </c>
      <c r="E85" s="164">
        <v>2217.6</v>
      </c>
      <c r="F85" s="165"/>
      <c r="G85" s="158">
        <f t="shared" si="21"/>
        <v>0</v>
      </c>
      <c r="H85" s="165"/>
      <c r="I85" s="165"/>
      <c r="J85" s="158">
        <f t="shared" si="15"/>
        <v>0</v>
      </c>
      <c r="K85" s="165"/>
      <c r="L85" s="165"/>
      <c r="M85" s="158">
        <f t="shared" si="16"/>
        <v>0</v>
      </c>
      <c r="N85" s="158">
        <f t="shared" si="17"/>
        <v>0</v>
      </c>
      <c r="O85" s="158">
        <f t="shared" si="18"/>
        <v>0</v>
      </c>
      <c r="P85" s="158">
        <f t="shared" si="19"/>
        <v>0</v>
      </c>
      <c r="Q85" s="165"/>
      <c r="R85" s="165"/>
      <c r="S85" s="158">
        <f t="shared" si="20"/>
        <v>0</v>
      </c>
      <c r="T85" s="165"/>
      <c r="U85" s="165"/>
      <c r="V85" s="180"/>
      <c r="W85" s="166"/>
      <c r="X85" s="166"/>
    </row>
    <row r="86" spans="1:24" s="167" customFormat="1" ht="31.5">
      <c r="A86" s="161" t="s">
        <v>134</v>
      </c>
      <c r="B86" s="146" t="s">
        <v>135</v>
      </c>
      <c r="C86" s="162" t="s">
        <v>10</v>
      </c>
      <c r="D86" s="163">
        <f t="shared" si="14"/>
        <v>2474.5</v>
      </c>
      <c r="E86" s="164">
        <v>2474.5</v>
      </c>
      <c r="F86" s="165"/>
      <c r="G86" s="158">
        <f t="shared" si="21"/>
        <v>2525</v>
      </c>
      <c r="H86" s="165">
        <v>2525</v>
      </c>
      <c r="I86" s="165"/>
      <c r="J86" s="158">
        <f t="shared" si="15"/>
        <v>4000</v>
      </c>
      <c r="K86" s="165">
        <v>4000</v>
      </c>
      <c r="L86" s="165"/>
      <c r="M86" s="158">
        <f t="shared" si="16"/>
        <v>1475</v>
      </c>
      <c r="N86" s="158">
        <f t="shared" si="17"/>
        <v>1475</v>
      </c>
      <c r="O86" s="158">
        <f t="shared" si="18"/>
        <v>0</v>
      </c>
      <c r="P86" s="158">
        <f t="shared" si="19"/>
        <v>4000</v>
      </c>
      <c r="Q86" s="165">
        <v>4000</v>
      </c>
      <c r="R86" s="165"/>
      <c r="S86" s="158">
        <f t="shared" si="20"/>
        <v>4000</v>
      </c>
      <c r="T86" s="165">
        <v>4000</v>
      </c>
      <c r="U86" s="165"/>
      <c r="V86" s="180"/>
      <c r="W86" s="166"/>
      <c r="X86" s="166"/>
    </row>
    <row r="87" spans="1:24" s="167" customFormat="1" ht="31.5">
      <c r="A87" s="161" t="s">
        <v>136</v>
      </c>
      <c r="B87" s="146" t="s">
        <v>137</v>
      </c>
      <c r="C87" s="162" t="s">
        <v>10</v>
      </c>
      <c r="D87" s="163">
        <f t="shared" si="14"/>
        <v>184257.4</v>
      </c>
      <c r="E87" s="164">
        <v>184257.4</v>
      </c>
      <c r="F87" s="165"/>
      <c r="G87" s="158">
        <f t="shared" si="21"/>
        <v>224000</v>
      </c>
      <c r="H87" s="165">
        <v>224000</v>
      </c>
      <c r="I87" s="165"/>
      <c r="J87" s="158">
        <f t="shared" si="15"/>
        <v>200000</v>
      </c>
      <c r="K87" s="165">
        <v>200000</v>
      </c>
      <c r="L87" s="165"/>
      <c r="M87" s="158">
        <f t="shared" si="16"/>
        <v>-24000</v>
      </c>
      <c r="N87" s="158">
        <f t="shared" si="17"/>
        <v>-24000</v>
      </c>
      <c r="O87" s="158">
        <f t="shared" si="18"/>
        <v>0</v>
      </c>
      <c r="P87" s="158">
        <f t="shared" si="19"/>
        <v>200000</v>
      </c>
      <c r="Q87" s="165">
        <v>200000</v>
      </c>
      <c r="R87" s="165"/>
      <c r="S87" s="158">
        <f t="shared" si="20"/>
        <v>200000</v>
      </c>
      <c r="T87" s="165">
        <v>200000</v>
      </c>
      <c r="U87" s="165"/>
      <c r="V87" s="180"/>
      <c r="W87" s="166"/>
      <c r="X87" s="166"/>
    </row>
    <row r="88" spans="1:24" s="167" customFormat="1" ht="84">
      <c r="A88" s="161" t="s">
        <v>138</v>
      </c>
      <c r="B88" s="146" t="s">
        <v>139</v>
      </c>
      <c r="C88" s="162" t="s">
        <v>10</v>
      </c>
      <c r="D88" s="163">
        <f t="shared" si="14"/>
        <v>0</v>
      </c>
      <c r="E88" s="164"/>
      <c r="F88" s="165"/>
      <c r="G88" s="158">
        <f t="shared" si="21"/>
        <v>0</v>
      </c>
      <c r="H88" s="165"/>
      <c r="I88" s="165"/>
      <c r="J88" s="158">
        <f t="shared" si="15"/>
        <v>0</v>
      </c>
      <c r="K88" s="165"/>
      <c r="L88" s="165"/>
      <c r="M88" s="158">
        <f t="shared" si="16"/>
        <v>0</v>
      </c>
      <c r="N88" s="158">
        <f t="shared" si="17"/>
        <v>0</v>
      </c>
      <c r="O88" s="158">
        <f t="shared" si="18"/>
        <v>0</v>
      </c>
      <c r="P88" s="158">
        <f t="shared" si="19"/>
        <v>0</v>
      </c>
      <c r="Q88" s="165"/>
      <c r="R88" s="165"/>
      <c r="S88" s="158">
        <f t="shared" si="20"/>
        <v>0</v>
      </c>
      <c r="T88" s="165"/>
      <c r="U88" s="165"/>
      <c r="V88" s="180"/>
      <c r="W88" s="166"/>
      <c r="X88" s="166"/>
    </row>
    <row r="89" spans="1:24" s="167" customFormat="1" ht="52.5">
      <c r="A89" s="161">
        <v>13510</v>
      </c>
      <c r="B89" s="149" t="s">
        <v>700</v>
      </c>
      <c r="C89" s="162"/>
      <c r="D89" s="163">
        <f t="shared" si="14"/>
        <v>3174.1</v>
      </c>
      <c r="E89" s="164">
        <v>3174.1</v>
      </c>
      <c r="F89" s="165"/>
      <c r="G89" s="158"/>
      <c r="H89" s="165"/>
      <c r="I89" s="165"/>
      <c r="J89" s="158">
        <f t="shared" si="15"/>
        <v>4000</v>
      </c>
      <c r="K89" s="165">
        <v>4000</v>
      </c>
      <c r="L89" s="165"/>
      <c r="M89" s="158">
        <f t="shared" si="16"/>
        <v>4000</v>
      </c>
      <c r="N89" s="158">
        <f t="shared" si="17"/>
        <v>4000</v>
      </c>
      <c r="O89" s="158">
        <f t="shared" si="18"/>
        <v>0</v>
      </c>
      <c r="P89" s="158">
        <f t="shared" si="19"/>
        <v>4000</v>
      </c>
      <c r="Q89" s="165">
        <v>4000</v>
      </c>
      <c r="R89" s="165"/>
      <c r="S89" s="158">
        <f t="shared" si="20"/>
        <v>4000</v>
      </c>
      <c r="T89" s="165">
        <v>4000</v>
      </c>
      <c r="U89" s="165"/>
      <c r="V89" s="180"/>
      <c r="W89" s="166"/>
      <c r="X89" s="166"/>
    </row>
    <row r="90" spans="1:24" s="167" customFormat="1" ht="84">
      <c r="A90" s="161">
        <v>13511</v>
      </c>
      <c r="B90" s="149" t="s">
        <v>701</v>
      </c>
      <c r="C90" s="162"/>
      <c r="D90" s="163">
        <f t="shared" si="14"/>
        <v>75</v>
      </c>
      <c r="E90" s="164">
        <v>75</v>
      </c>
      <c r="F90" s="165"/>
      <c r="G90" s="158"/>
      <c r="H90" s="165"/>
      <c r="I90" s="165"/>
      <c r="J90" s="158">
        <f t="shared" si="15"/>
        <v>0</v>
      </c>
      <c r="K90" s="165"/>
      <c r="L90" s="165"/>
      <c r="M90" s="158">
        <f t="shared" si="16"/>
        <v>0</v>
      </c>
      <c r="N90" s="158">
        <f t="shared" si="17"/>
        <v>0</v>
      </c>
      <c r="O90" s="158">
        <f t="shared" si="18"/>
        <v>0</v>
      </c>
      <c r="P90" s="158">
        <f t="shared" si="19"/>
        <v>0</v>
      </c>
      <c r="Q90" s="165"/>
      <c r="R90" s="165"/>
      <c r="S90" s="158">
        <f t="shared" si="20"/>
        <v>0</v>
      </c>
      <c r="T90" s="165"/>
      <c r="U90" s="165"/>
      <c r="V90" s="180"/>
      <c r="W90" s="166"/>
      <c r="X90" s="166"/>
    </row>
    <row r="91" spans="1:24" s="167" customFormat="1" ht="42">
      <c r="A91" s="161" t="s">
        <v>140</v>
      </c>
      <c r="B91" s="146" t="s">
        <v>141</v>
      </c>
      <c r="C91" s="162" t="s">
        <v>10</v>
      </c>
      <c r="D91" s="163">
        <f t="shared" si="14"/>
        <v>0</v>
      </c>
      <c r="E91" s="164"/>
      <c r="F91" s="165"/>
      <c r="G91" s="158">
        <f aca="true" t="shared" si="22" ref="G91:G114">+H91+I91</f>
        <v>0</v>
      </c>
      <c r="H91" s="165"/>
      <c r="I91" s="165"/>
      <c r="J91" s="158">
        <f t="shared" si="15"/>
        <v>0</v>
      </c>
      <c r="K91" s="165"/>
      <c r="L91" s="165"/>
      <c r="M91" s="158">
        <f t="shared" si="16"/>
        <v>0</v>
      </c>
      <c r="N91" s="158">
        <f t="shared" si="17"/>
        <v>0</v>
      </c>
      <c r="O91" s="158">
        <f t="shared" si="18"/>
        <v>0</v>
      </c>
      <c r="P91" s="158">
        <f t="shared" si="19"/>
        <v>0</v>
      </c>
      <c r="Q91" s="165"/>
      <c r="R91" s="165"/>
      <c r="S91" s="158">
        <f t="shared" si="20"/>
        <v>0</v>
      </c>
      <c r="T91" s="165"/>
      <c r="U91" s="165"/>
      <c r="V91" s="180"/>
      <c r="W91" s="166"/>
      <c r="X91" s="166"/>
    </row>
    <row r="92" spans="1:24" s="167" customFormat="1" ht="31.5">
      <c r="A92" s="161" t="s">
        <v>142</v>
      </c>
      <c r="B92" s="146" t="s">
        <v>143</v>
      </c>
      <c r="C92" s="162" t="s">
        <v>10</v>
      </c>
      <c r="D92" s="163">
        <f t="shared" si="14"/>
        <v>98387.3</v>
      </c>
      <c r="E92" s="164">
        <v>98387.3</v>
      </c>
      <c r="F92" s="165"/>
      <c r="G92" s="158">
        <f t="shared" si="22"/>
        <v>102000</v>
      </c>
      <c r="H92" s="165">
        <v>102000</v>
      </c>
      <c r="I92" s="165"/>
      <c r="J92" s="158">
        <f t="shared" si="15"/>
        <v>110000</v>
      </c>
      <c r="K92" s="165">
        <v>110000</v>
      </c>
      <c r="L92" s="165"/>
      <c r="M92" s="158">
        <f t="shared" si="16"/>
        <v>8000</v>
      </c>
      <c r="N92" s="158">
        <f t="shared" si="17"/>
        <v>8000</v>
      </c>
      <c r="O92" s="158">
        <f t="shared" si="18"/>
        <v>0</v>
      </c>
      <c r="P92" s="158">
        <f t="shared" si="19"/>
        <v>110000</v>
      </c>
      <c r="Q92" s="165">
        <v>110000</v>
      </c>
      <c r="R92" s="165"/>
      <c r="S92" s="158">
        <f t="shared" si="20"/>
        <v>110000</v>
      </c>
      <c r="T92" s="165">
        <v>110000</v>
      </c>
      <c r="U92" s="165"/>
      <c r="V92" s="180"/>
      <c r="W92" s="166"/>
      <c r="X92" s="166"/>
    </row>
    <row r="93" spans="1:24" s="167" customFormat="1" ht="52.5">
      <c r="A93" s="161" t="s">
        <v>144</v>
      </c>
      <c r="B93" s="146" t="s">
        <v>145</v>
      </c>
      <c r="C93" s="162" t="s">
        <v>10</v>
      </c>
      <c r="D93" s="163">
        <f t="shared" si="14"/>
        <v>17133.6</v>
      </c>
      <c r="E93" s="164">
        <v>17133.6</v>
      </c>
      <c r="F93" s="165"/>
      <c r="G93" s="158">
        <f t="shared" si="22"/>
        <v>20900</v>
      </c>
      <c r="H93" s="165">
        <v>20900</v>
      </c>
      <c r="I93" s="165"/>
      <c r="J93" s="158">
        <f t="shared" si="15"/>
        <v>85500</v>
      </c>
      <c r="K93" s="165">
        <v>85500</v>
      </c>
      <c r="L93" s="165"/>
      <c r="M93" s="158">
        <f t="shared" si="16"/>
        <v>64600</v>
      </c>
      <c r="N93" s="158">
        <f t="shared" si="17"/>
        <v>64600</v>
      </c>
      <c r="O93" s="158">
        <f t="shared" si="18"/>
        <v>0</v>
      </c>
      <c r="P93" s="158">
        <f t="shared" si="19"/>
        <v>85500</v>
      </c>
      <c r="Q93" s="165">
        <v>85500</v>
      </c>
      <c r="R93" s="165"/>
      <c r="S93" s="158">
        <f t="shared" si="20"/>
        <v>85500</v>
      </c>
      <c r="T93" s="165">
        <v>85500</v>
      </c>
      <c r="U93" s="165"/>
      <c r="V93" s="180"/>
      <c r="W93" s="166"/>
      <c r="X93" s="166"/>
    </row>
    <row r="94" spans="1:24" s="167" customFormat="1" ht="52.5">
      <c r="A94" s="161" t="s">
        <v>146</v>
      </c>
      <c r="B94" s="146" t="s">
        <v>147</v>
      </c>
      <c r="C94" s="162" t="s">
        <v>10</v>
      </c>
      <c r="D94" s="163">
        <f t="shared" si="14"/>
        <v>0</v>
      </c>
      <c r="E94" s="164"/>
      <c r="F94" s="165"/>
      <c r="G94" s="158">
        <f t="shared" si="22"/>
        <v>0</v>
      </c>
      <c r="H94" s="165"/>
      <c r="I94" s="165"/>
      <c r="J94" s="158">
        <f t="shared" si="15"/>
        <v>0</v>
      </c>
      <c r="K94" s="165"/>
      <c r="L94" s="165"/>
      <c r="M94" s="158">
        <f t="shared" si="16"/>
        <v>0</v>
      </c>
      <c r="N94" s="158">
        <f t="shared" si="17"/>
        <v>0</v>
      </c>
      <c r="O94" s="158">
        <f t="shared" si="18"/>
        <v>0</v>
      </c>
      <c r="P94" s="158">
        <f t="shared" si="19"/>
        <v>0</v>
      </c>
      <c r="Q94" s="165"/>
      <c r="R94" s="165"/>
      <c r="S94" s="158">
        <f t="shared" si="20"/>
        <v>0</v>
      </c>
      <c r="T94" s="165"/>
      <c r="U94" s="165"/>
      <c r="V94" s="180"/>
      <c r="W94" s="166"/>
      <c r="X94" s="166"/>
    </row>
    <row r="95" spans="1:24" s="167" customFormat="1" ht="84">
      <c r="A95" s="161" t="s">
        <v>148</v>
      </c>
      <c r="B95" s="146" t="s">
        <v>149</v>
      </c>
      <c r="C95" s="162" t="s">
        <v>10</v>
      </c>
      <c r="D95" s="163">
        <f t="shared" si="14"/>
        <v>0</v>
      </c>
      <c r="E95" s="164"/>
      <c r="F95" s="165"/>
      <c r="G95" s="158">
        <f t="shared" si="22"/>
        <v>0</v>
      </c>
      <c r="H95" s="165"/>
      <c r="I95" s="165"/>
      <c r="J95" s="158">
        <f t="shared" si="15"/>
        <v>0</v>
      </c>
      <c r="K95" s="165"/>
      <c r="L95" s="165"/>
      <c r="M95" s="158">
        <f t="shared" si="16"/>
        <v>0</v>
      </c>
      <c r="N95" s="158">
        <f t="shared" si="17"/>
        <v>0</v>
      </c>
      <c r="O95" s="158">
        <f t="shared" si="18"/>
        <v>0</v>
      </c>
      <c r="P95" s="158">
        <f t="shared" si="19"/>
        <v>0</v>
      </c>
      <c r="Q95" s="165"/>
      <c r="R95" s="165"/>
      <c r="S95" s="158">
        <f t="shared" si="20"/>
        <v>0</v>
      </c>
      <c r="T95" s="165"/>
      <c r="U95" s="165"/>
      <c r="V95" s="180"/>
      <c r="W95" s="166"/>
      <c r="X95" s="166"/>
    </row>
    <row r="96" spans="1:24" s="167" customFormat="1" ht="21">
      <c r="A96" s="161" t="s">
        <v>150</v>
      </c>
      <c r="B96" s="146" t="s">
        <v>151</v>
      </c>
      <c r="C96" s="162" t="s">
        <v>10</v>
      </c>
      <c r="D96" s="163">
        <f t="shared" si="14"/>
        <v>35</v>
      </c>
      <c r="E96" s="164">
        <v>35</v>
      </c>
      <c r="F96" s="165"/>
      <c r="G96" s="158">
        <f t="shared" si="22"/>
        <v>0</v>
      </c>
      <c r="H96" s="165"/>
      <c r="I96" s="165"/>
      <c r="J96" s="158">
        <f t="shared" si="15"/>
        <v>0</v>
      </c>
      <c r="K96" s="165"/>
      <c r="L96" s="165"/>
      <c r="M96" s="158">
        <f t="shared" si="16"/>
        <v>0</v>
      </c>
      <c r="N96" s="158">
        <f t="shared" si="17"/>
        <v>0</v>
      </c>
      <c r="O96" s="158">
        <f t="shared" si="18"/>
        <v>0</v>
      </c>
      <c r="P96" s="158">
        <f t="shared" si="19"/>
        <v>0</v>
      </c>
      <c r="Q96" s="165"/>
      <c r="R96" s="165"/>
      <c r="S96" s="158">
        <f t="shared" si="20"/>
        <v>0</v>
      </c>
      <c r="T96" s="165"/>
      <c r="U96" s="165"/>
      <c r="V96" s="180"/>
      <c r="W96" s="166"/>
      <c r="X96" s="166"/>
    </row>
    <row r="97" spans="1:24" s="167" customFormat="1" ht="21">
      <c r="A97" s="161" t="s">
        <v>152</v>
      </c>
      <c r="B97" s="146" t="s">
        <v>153</v>
      </c>
      <c r="C97" s="162" t="s">
        <v>10</v>
      </c>
      <c r="D97" s="163">
        <f t="shared" si="14"/>
        <v>0</v>
      </c>
      <c r="E97" s="164"/>
      <c r="F97" s="165"/>
      <c r="G97" s="158">
        <f t="shared" si="22"/>
        <v>0</v>
      </c>
      <c r="H97" s="165"/>
      <c r="I97" s="165"/>
      <c r="J97" s="158">
        <f t="shared" si="15"/>
        <v>0</v>
      </c>
      <c r="K97" s="165"/>
      <c r="L97" s="165"/>
      <c r="M97" s="158">
        <f t="shared" si="16"/>
        <v>0</v>
      </c>
      <c r="N97" s="158">
        <f t="shared" si="17"/>
        <v>0</v>
      </c>
      <c r="O97" s="158">
        <f t="shared" si="18"/>
        <v>0</v>
      </c>
      <c r="P97" s="158">
        <f t="shared" si="19"/>
        <v>0</v>
      </c>
      <c r="Q97" s="165"/>
      <c r="R97" s="165"/>
      <c r="S97" s="158">
        <f t="shared" si="20"/>
        <v>0</v>
      </c>
      <c r="T97" s="165"/>
      <c r="U97" s="165"/>
      <c r="V97" s="180"/>
      <c r="W97" s="166"/>
      <c r="X97" s="166"/>
    </row>
    <row r="98" spans="1:24" s="167" customFormat="1" ht="12.75">
      <c r="A98" s="161" t="s">
        <v>154</v>
      </c>
      <c r="B98" s="146" t="s">
        <v>155</v>
      </c>
      <c r="C98" s="162" t="s">
        <v>10</v>
      </c>
      <c r="D98" s="163">
        <f t="shared" si="14"/>
        <v>0</v>
      </c>
      <c r="E98" s="164"/>
      <c r="F98" s="165"/>
      <c r="G98" s="158">
        <f t="shared" si="22"/>
        <v>0</v>
      </c>
      <c r="H98" s="165"/>
      <c r="I98" s="165"/>
      <c r="J98" s="158">
        <f t="shared" si="15"/>
        <v>0</v>
      </c>
      <c r="K98" s="165"/>
      <c r="L98" s="165"/>
      <c r="M98" s="158">
        <f t="shared" si="16"/>
        <v>0</v>
      </c>
      <c r="N98" s="158">
        <f t="shared" si="17"/>
        <v>0</v>
      </c>
      <c r="O98" s="158">
        <f t="shared" si="18"/>
        <v>0</v>
      </c>
      <c r="P98" s="158">
        <f t="shared" si="19"/>
        <v>0</v>
      </c>
      <c r="Q98" s="165"/>
      <c r="R98" s="165"/>
      <c r="S98" s="158">
        <f t="shared" si="20"/>
        <v>0</v>
      </c>
      <c r="T98" s="165"/>
      <c r="U98" s="165"/>
      <c r="V98" s="180"/>
      <c r="W98" s="166"/>
      <c r="X98" s="166"/>
    </row>
    <row r="99" spans="1:24" s="167" customFormat="1" ht="42">
      <c r="A99" s="161" t="s">
        <v>156</v>
      </c>
      <c r="B99" s="146" t="s">
        <v>157</v>
      </c>
      <c r="C99" s="162" t="s">
        <v>10</v>
      </c>
      <c r="D99" s="163">
        <f t="shared" si="14"/>
        <v>192931.1</v>
      </c>
      <c r="E99" s="164">
        <v>192931.1</v>
      </c>
      <c r="F99" s="165"/>
      <c r="G99" s="158">
        <f t="shared" si="22"/>
        <v>86400</v>
      </c>
      <c r="H99" s="165">
        <v>86400</v>
      </c>
      <c r="I99" s="165"/>
      <c r="J99" s="158">
        <f t="shared" si="15"/>
        <v>150000</v>
      </c>
      <c r="K99" s="165">
        <v>150000</v>
      </c>
      <c r="L99" s="165"/>
      <c r="M99" s="158">
        <f t="shared" si="16"/>
        <v>63600</v>
      </c>
      <c r="N99" s="158">
        <f t="shared" si="17"/>
        <v>63600</v>
      </c>
      <c r="O99" s="158">
        <f t="shared" si="18"/>
        <v>0</v>
      </c>
      <c r="P99" s="158">
        <f t="shared" si="19"/>
        <v>150000</v>
      </c>
      <c r="Q99" s="165">
        <v>150000</v>
      </c>
      <c r="R99" s="165"/>
      <c r="S99" s="158">
        <f t="shared" si="20"/>
        <v>150000</v>
      </c>
      <c r="T99" s="165">
        <v>150000</v>
      </c>
      <c r="U99" s="165"/>
      <c r="V99" s="180"/>
      <c r="W99" s="166"/>
      <c r="X99" s="166"/>
    </row>
    <row r="100" spans="1:24" s="160" customFormat="1" ht="42">
      <c r="A100" s="154" t="s">
        <v>158</v>
      </c>
      <c r="B100" s="145" t="s">
        <v>186</v>
      </c>
      <c r="C100" s="155" t="s">
        <v>159</v>
      </c>
      <c r="D100" s="163">
        <f t="shared" si="14"/>
        <v>20840</v>
      </c>
      <c r="E100" s="157">
        <f>+E102+E103</f>
        <v>20840</v>
      </c>
      <c r="F100" s="158">
        <f>+F102+F103</f>
        <v>0</v>
      </c>
      <c r="G100" s="158">
        <f t="shared" si="22"/>
        <v>21000</v>
      </c>
      <c r="H100" s="158">
        <f>+H102+H103</f>
        <v>21000</v>
      </c>
      <c r="I100" s="158">
        <f>+I102+I103</f>
        <v>0</v>
      </c>
      <c r="J100" s="158">
        <f t="shared" si="15"/>
        <v>15000</v>
      </c>
      <c r="K100" s="158">
        <f>+K102+K103</f>
        <v>15000</v>
      </c>
      <c r="L100" s="158">
        <f>+L102+L103</f>
        <v>0</v>
      </c>
      <c r="M100" s="158">
        <f t="shared" si="16"/>
        <v>-6000</v>
      </c>
      <c r="N100" s="158">
        <f t="shared" si="17"/>
        <v>-6000</v>
      </c>
      <c r="O100" s="158">
        <f t="shared" si="18"/>
        <v>0</v>
      </c>
      <c r="P100" s="158">
        <f t="shared" si="19"/>
        <v>15000</v>
      </c>
      <c r="Q100" s="158">
        <f>+Q102+Q103</f>
        <v>15000</v>
      </c>
      <c r="R100" s="158">
        <f>+R102+R103</f>
        <v>0</v>
      </c>
      <c r="S100" s="158">
        <f t="shared" si="20"/>
        <v>15000</v>
      </c>
      <c r="T100" s="158">
        <f>+T102+T103</f>
        <v>15000</v>
      </c>
      <c r="U100" s="158">
        <f>+U102+U103</f>
        <v>0</v>
      </c>
      <c r="V100" s="180"/>
      <c r="W100" s="159"/>
      <c r="X100" s="159"/>
    </row>
    <row r="101" spans="1:24" s="167" customFormat="1" ht="12.75">
      <c r="A101" s="161"/>
      <c r="B101" s="146" t="s">
        <v>5</v>
      </c>
      <c r="C101" s="162"/>
      <c r="D101" s="163">
        <f t="shared" si="14"/>
        <v>0</v>
      </c>
      <c r="E101" s="164"/>
      <c r="F101" s="165"/>
      <c r="G101" s="158">
        <f t="shared" si="22"/>
        <v>0</v>
      </c>
      <c r="H101" s="165"/>
      <c r="I101" s="165"/>
      <c r="J101" s="158">
        <f t="shared" si="15"/>
        <v>0</v>
      </c>
      <c r="K101" s="165"/>
      <c r="L101" s="165"/>
      <c r="M101" s="158">
        <f t="shared" si="16"/>
        <v>0</v>
      </c>
      <c r="N101" s="158">
        <f t="shared" si="17"/>
        <v>0</v>
      </c>
      <c r="O101" s="158">
        <f t="shared" si="18"/>
        <v>0</v>
      </c>
      <c r="P101" s="158">
        <f t="shared" si="19"/>
        <v>0</v>
      </c>
      <c r="Q101" s="165"/>
      <c r="R101" s="165"/>
      <c r="S101" s="158">
        <f t="shared" si="20"/>
        <v>0</v>
      </c>
      <c r="T101" s="165"/>
      <c r="U101" s="165"/>
      <c r="V101" s="180"/>
      <c r="W101" s="166"/>
      <c r="X101" s="166"/>
    </row>
    <row r="102" spans="1:24" s="167" customFormat="1" ht="52.5">
      <c r="A102" s="161" t="s">
        <v>160</v>
      </c>
      <c r="B102" s="146" t="s">
        <v>161</v>
      </c>
      <c r="C102" s="162" t="s">
        <v>10</v>
      </c>
      <c r="D102" s="163">
        <f t="shared" si="14"/>
        <v>20840</v>
      </c>
      <c r="E102" s="164">
        <v>20840</v>
      </c>
      <c r="F102" s="165"/>
      <c r="G102" s="158">
        <f t="shared" si="22"/>
        <v>21000</v>
      </c>
      <c r="H102" s="165">
        <v>21000</v>
      </c>
      <c r="I102" s="165"/>
      <c r="J102" s="158">
        <f t="shared" si="15"/>
        <v>15000</v>
      </c>
      <c r="K102" s="165">
        <v>15000</v>
      </c>
      <c r="L102" s="165"/>
      <c r="M102" s="158">
        <f t="shared" si="16"/>
        <v>-6000</v>
      </c>
      <c r="N102" s="158">
        <f t="shared" si="17"/>
        <v>-6000</v>
      </c>
      <c r="O102" s="158">
        <f t="shared" si="18"/>
        <v>0</v>
      </c>
      <c r="P102" s="158">
        <f t="shared" si="19"/>
        <v>15000</v>
      </c>
      <c r="Q102" s="165">
        <v>15000</v>
      </c>
      <c r="R102" s="165"/>
      <c r="S102" s="158">
        <f t="shared" si="20"/>
        <v>15000</v>
      </c>
      <c r="T102" s="165">
        <v>15000</v>
      </c>
      <c r="U102" s="165"/>
      <c r="V102" s="180"/>
      <c r="W102" s="166"/>
      <c r="X102" s="166"/>
    </row>
    <row r="103" spans="1:24" s="167" customFormat="1" ht="42">
      <c r="A103" s="161" t="s">
        <v>162</v>
      </c>
      <c r="B103" s="146" t="s">
        <v>163</v>
      </c>
      <c r="C103" s="162" t="s">
        <v>10</v>
      </c>
      <c r="D103" s="163">
        <f t="shared" si="14"/>
        <v>0</v>
      </c>
      <c r="E103" s="164"/>
      <c r="F103" s="165"/>
      <c r="G103" s="158">
        <f t="shared" si="22"/>
        <v>0</v>
      </c>
      <c r="H103" s="165"/>
      <c r="I103" s="165"/>
      <c r="J103" s="158">
        <f t="shared" si="15"/>
        <v>0</v>
      </c>
      <c r="K103" s="165"/>
      <c r="L103" s="165"/>
      <c r="M103" s="158">
        <f t="shared" si="16"/>
        <v>0</v>
      </c>
      <c r="N103" s="158">
        <f t="shared" si="17"/>
        <v>0</v>
      </c>
      <c r="O103" s="158">
        <f t="shared" si="18"/>
        <v>0</v>
      </c>
      <c r="P103" s="158">
        <f t="shared" si="19"/>
        <v>0</v>
      </c>
      <c r="Q103" s="165"/>
      <c r="R103" s="165"/>
      <c r="S103" s="158">
        <f t="shared" si="20"/>
        <v>0</v>
      </c>
      <c r="T103" s="165"/>
      <c r="U103" s="165"/>
      <c r="V103" s="180"/>
      <c r="W103" s="166"/>
      <c r="X103" s="166"/>
    </row>
    <row r="104" spans="1:24" s="160" customFormat="1" ht="42">
      <c r="A104" s="154" t="s">
        <v>164</v>
      </c>
      <c r="B104" s="145" t="s">
        <v>165</v>
      </c>
      <c r="C104" s="155" t="s">
        <v>166</v>
      </c>
      <c r="D104" s="163">
        <f t="shared" si="14"/>
        <v>331</v>
      </c>
      <c r="E104" s="157">
        <f>+E106</f>
        <v>331</v>
      </c>
      <c r="F104" s="158">
        <f>+F106</f>
        <v>0</v>
      </c>
      <c r="G104" s="158">
        <f t="shared" si="22"/>
        <v>0</v>
      </c>
      <c r="H104" s="158">
        <f>+H106</f>
        <v>0</v>
      </c>
      <c r="I104" s="158">
        <f>+I106</f>
        <v>0</v>
      </c>
      <c r="J104" s="158">
        <f t="shared" si="15"/>
        <v>0</v>
      </c>
      <c r="K104" s="158">
        <f>+K106</f>
        <v>0</v>
      </c>
      <c r="L104" s="158">
        <f>+L106</f>
        <v>0</v>
      </c>
      <c r="M104" s="158">
        <f t="shared" si="16"/>
        <v>0</v>
      </c>
      <c r="N104" s="158">
        <f t="shared" si="17"/>
        <v>0</v>
      </c>
      <c r="O104" s="158">
        <f t="shared" si="18"/>
        <v>0</v>
      </c>
      <c r="P104" s="158">
        <f t="shared" si="19"/>
        <v>0</v>
      </c>
      <c r="Q104" s="158">
        <f>+Q106</f>
        <v>0</v>
      </c>
      <c r="R104" s="158">
        <f>+R106</f>
        <v>0</v>
      </c>
      <c r="S104" s="158">
        <f t="shared" si="20"/>
        <v>0</v>
      </c>
      <c r="T104" s="158">
        <f>+T106</f>
        <v>0</v>
      </c>
      <c r="U104" s="158">
        <f>+U106</f>
        <v>0</v>
      </c>
      <c r="V104" s="180"/>
      <c r="W104" s="159"/>
      <c r="X104" s="159"/>
    </row>
    <row r="105" spans="1:24" s="167" customFormat="1" ht="12.75">
      <c r="A105" s="161"/>
      <c r="B105" s="146" t="s">
        <v>5</v>
      </c>
      <c r="C105" s="162"/>
      <c r="D105" s="163">
        <f t="shared" si="14"/>
        <v>0</v>
      </c>
      <c r="E105" s="164"/>
      <c r="F105" s="165"/>
      <c r="G105" s="158">
        <f t="shared" si="22"/>
        <v>0</v>
      </c>
      <c r="H105" s="165"/>
      <c r="I105" s="165"/>
      <c r="J105" s="158">
        <f t="shared" si="15"/>
        <v>0</v>
      </c>
      <c r="K105" s="165"/>
      <c r="L105" s="165"/>
      <c r="M105" s="158">
        <f t="shared" si="16"/>
        <v>0</v>
      </c>
      <c r="N105" s="158">
        <f t="shared" si="17"/>
        <v>0</v>
      </c>
      <c r="O105" s="158">
        <f t="shared" si="18"/>
        <v>0</v>
      </c>
      <c r="P105" s="158">
        <f t="shared" si="19"/>
        <v>0</v>
      </c>
      <c r="Q105" s="165"/>
      <c r="R105" s="165"/>
      <c r="S105" s="158">
        <f t="shared" si="20"/>
        <v>0</v>
      </c>
      <c r="T105" s="165"/>
      <c r="U105" s="165"/>
      <c r="V105" s="180"/>
      <c r="W105" s="166"/>
      <c r="X105" s="166"/>
    </row>
    <row r="106" spans="1:24" s="167" customFormat="1" ht="84" hidden="1">
      <c r="A106" s="161" t="s">
        <v>167</v>
      </c>
      <c r="B106" s="146" t="s">
        <v>168</v>
      </c>
      <c r="C106" s="162" t="s">
        <v>10</v>
      </c>
      <c r="D106" s="163">
        <f t="shared" si="14"/>
        <v>331</v>
      </c>
      <c r="E106" s="164">
        <v>331</v>
      </c>
      <c r="F106" s="165"/>
      <c r="G106" s="158">
        <f t="shared" si="22"/>
        <v>0</v>
      </c>
      <c r="H106" s="165"/>
      <c r="I106" s="165"/>
      <c r="J106" s="158">
        <f aca="true" t="shared" si="23" ref="J106:J114">+K106+L106</f>
        <v>0</v>
      </c>
      <c r="K106" s="165"/>
      <c r="L106" s="165"/>
      <c r="M106" s="158">
        <f aca="true" t="shared" si="24" ref="M106:M114">+J106-G106</f>
        <v>0</v>
      </c>
      <c r="N106" s="158">
        <f aca="true" t="shared" si="25" ref="N106:N114">+K106-H106</f>
        <v>0</v>
      </c>
      <c r="O106" s="158">
        <f aca="true" t="shared" si="26" ref="O106:O114">+L106-I106</f>
        <v>0</v>
      </c>
      <c r="P106" s="158">
        <f t="shared" si="19"/>
        <v>0</v>
      </c>
      <c r="Q106" s="165"/>
      <c r="R106" s="165"/>
      <c r="S106" s="158">
        <f t="shared" si="20"/>
        <v>0</v>
      </c>
      <c r="T106" s="165"/>
      <c r="U106" s="165"/>
      <c r="V106" s="180"/>
      <c r="W106" s="166"/>
      <c r="X106" s="166"/>
    </row>
    <row r="107" spans="1:24" s="160" customFormat="1" ht="42">
      <c r="A107" s="154" t="s">
        <v>169</v>
      </c>
      <c r="B107" s="145" t="s">
        <v>170</v>
      </c>
      <c r="C107" s="155" t="s">
        <v>171</v>
      </c>
      <c r="D107" s="163">
        <f t="shared" si="14"/>
        <v>0</v>
      </c>
      <c r="E107" s="157">
        <f>+E109</f>
        <v>0</v>
      </c>
      <c r="F107" s="158">
        <f>+F109</f>
        <v>0</v>
      </c>
      <c r="G107" s="158">
        <f t="shared" si="22"/>
        <v>0</v>
      </c>
      <c r="H107" s="158">
        <f>+H109</f>
        <v>0</v>
      </c>
      <c r="I107" s="158">
        <f>+I109</f>
        <v>0</v>
      </c>
      <c r="J107" s="158">
        <f t="shared" si="23"/>
        <v>0</v>
      </c>
      <c r="K107" s="158">
        <f>+K109</f>
        <v>0</v>
      </c>
      <c r="L107" s="158">
        <f>+L109</f>
        <v>0</v>
      </c>
      <c r="M107" s="158">
        <f t="shared" si="24"/>
        <v>0</v>
      </c>
      <c r="N107" s="158">
        <f t="shared" si="25"/>
        <v>0</v>
      </c>
      <c r="O107" s="158">
        <f t="shared" si="26"/>
        <v>0</v>
      </c>
      <c r="P107" s="158">
        <f t="shared" si="19"/>
        <v>0</v>
      </c>
      <c r="Q107" s="158">
        <f>+Q109</f>
        <v>0</v>
      </c>
      <c r="R107" s="158">
        <f>+R109</f>
        <v>0</v>
      </c>
      <c r="S107" s="158">
        <f t="shared" si="20"/>
        <v>0</v>
      </c>
      <c r="T107" s="158">
        <f>+T109</f>
        <v>0</v>
      </c>
      <c r="U107" s="158">
        <f>+U109</f>
        <v>0</v>
      </c>
      <c r="V107" s="180"/>
      <c r="W107" s="159"/>
      <c r="X107" s="159"/>
    </row>
    <row r="108" spans="1:24" s="167" customFormat="1" ht="12.75">
      <c r="A108" s="161"/>
      <c r="B108" s="146" t="s">
        <v>5</v>
      </c>
      <c r="C108" s="162"/>
      <c r="D108" s="163">
        <f t="shared" si="14"/>
        <v>0</v>
      </c>
      <c r="E108" s="164"/>
      <c r="F108" s="165"/>
      <c r="G108" s="158">
        <f t="shared" si="22"/>
        <v>0</v>
      </c>
      <c r="H108" s="165"/>
      <c r="I108" s="165"/>
      <c r="J108" s="158">
        <f t="shared" si="23"/>
        <v>0</v>
      </c>
      <c r="K108" s="165"/>
      <c r="L108" s="165"/>
      <c r="M108" s="158">
        <f t="shared" si="24"/>
        <v>0</v>
      </c>
      <c r="N108" s="158">
        <f t="shared" si="25"/>
        <v>0</v>
      </c>
      <c r="O108" s="158">
        <f t="shared" si="26"/>
        <v>0</v>
      </c>
      <c r="P108" s="158">
        <f t="shared" si="19"/>
        <v>0</v>
      </c>
      <c r="Q108" s="165"/>
      <c r="R108" s="165"/>
      <c r="S108" s="158">
        <f t="shared" si="20"/>
        <v>0</v>
      </c>
      <c r="T108" s="165"/>
      <c r="U108" s="165"/>
      <c r="V108" s="180"/>
      <c r="W108" s="166"/>
      <c r="X108" s="166"/>
    </row>
    <row r="109" spans="1:24" s="167" customFormat="1" ht="84" hidden="1">
      <c r="A109" s="161" t="s">
        <v>172</v>
      </c>
      <c r="B109" s="146" t="s">
        <v>173</v>
      </c>
      <c r="C109" s="162"/>
      <c r="D109" s="163">
        <f t="shared" si="14"/>
        <v>0</v>
      </c>
      <c r="E109" s="164"/>
      <c r="F109" s="165"/>
      <c r="G109" s="158">
        <f t="shared" si="22"/>
        <v>0</v>
      </c>
      <c r="H109" s="165"/>
      <c r="I109" s="165"/>
      <c r="J109" s="158">
        <f t="shared" si="23"/>
        <v>0</v>
      </c>
      <c r="K109" s="165"/>
      <c r="L109" s="165"/>
      <c r="M109" s="158">
        <f t="shared" si="24"/>
        <v>0</v>
      </c>
      <c r="N109" s="158">
        <f t="shared" si="25"/>
        <v>0</v>
      </c>
      <c r="O109" s="158">
        <f t="shared" si="26"/>
        <v>0</v>
      </c>
      <c r="P109" s="158">
        <f t="shared" si="19"/>
        <v>0</v>
      </c>
      <c r="Q109" s="165"/>
      <c r="R109" s="165"/>
      <c r="S109" s="158">
        <f t="shared" si="20"/>
        <v>0</v>
      </c>
      <c r="T109" s="165"/>
      <c r="U109" s="165"/>
      <c r="V109" s="180"/>
      <c r="W109" s="166"/>
      <c r="X109" s="166"/>
    </row>
    <row r="110" spans="1:24" s="160" customFormat="1" ht="31.5">
      <c r="A110" s="154" t="s">
        <v>174</v>
      </c>
      <c r="B110" s="145" t="s">
        <v>175</v>
      </c>
      <c r="C110" s="155" t="s">
        <v>176</v>
      </c>
      <c r="D110" s="163">
        <v>86450.5</v>
      </c>
      <c r="E110" s="157">
        <f>+E112+E113+E114</f>
        <v>86450.5</v>
      </c>
      <c r="F110" s="158">
        <f>+F112+F113+F114</f>
        <v>59064.2</v>
      </c>
      <c r="G110" s="158">
        <f t="shared" si="22"/>
        <v>112535</v>
      </c>
      <c r="H110" s="158">
        <f>+H112+H113+H114</f>
        <v>112535</v>
      </c>
      <c r="I110" s="158">
        <f>+I112+I113+I114</f>
        <v>0</v>
      </c>
      <c r="J110" s="158">
        <f t="shared" si="23"/>
        <v>110000</v>
      </c>
      <c r="K110" s="158">
        <f>+K112+K113+K114</f>
        <v>110000</v>
      </c>
      <c r="L110" s="158">
        <f>+L112+L113+L114</f>
        <v>0</v>
      </c>
      <c r="M110" s="158">
        <f t="shared" si="24"/>
        <v>-2535</v>
      </c>
      <c r="N110" s="158">
        <f t="shared" si="25"/>
        <v>-2535</v>
      </c>
      <c r="O110" s="158">
        <f t="shared" si="26"/>
        <v>0</v>
      </c>
      <c r="P110" s="158">
        <f t="shared" si="19"/>
        <v>100000</v>
      </c>
      <c r="Q110" s="158">
        <f>+Q112+Q113+Q114</f>
        <v>100000</v>
      </c>
      <c r="R110" s="158">
        <f>+R112+R113+R114</f>
        <v>0</v>
      </c>
      <c r="S110" s="158">
        <f t="shared" si="20"/>
        <v>90000</v>
      </c>
      <c r="T110" s="158">
        <f>+T112+T113+T114</f>
        <v>90000</v>
      </c>
      <c r="U110" s="158">
        <f>+U112+U113+U114</f>
        <v>0</v>
      </c>
      <c r="V110" s="180"/>
      <c r="W110" s="159"/>
      <c r="X110" s="159"/>
    </row>
    <row r="111" spans="1:24" s="167" customFormat="1" ht="12.75">
      <c r="A111" s="161"/>
      <c r="B111" s="146" t="s">
        <v>5</v>
      </c>
      <c r="C111" s="162"/>
      <c r="D111" s="163">
        <f>+E111+F111</f>
        <v>0</v>
      </c>
      <c r="E111" s="164"/>
      <c r="F111" s="165"/>
      <c r="G111" s="158">
        <f t="shared" si="22"/>
        <v>0</v>
      </c>
      <c r="H111" s="165"/>
      <c r="I111" s="165"/>
      <c r="J111" s="158">
        <f t="shared" si="23"/>
        <v>0</v>
      </c>
      <c r="K111" s="165"/>
      <c r="L111" s="165"/>
      <c r="M111" s="158">
        <f t="shared" si="24"/>
        <v>0</v>
      </c>
      <c r="N111" s="158">
        <f t="shared" si="25"/>
        <v>0</v>
      </c>
      <c r="O111" s="158">
        <f t="shared" si="26"/>
        <v>0</v>
      </c>
      <c r="P111" s="158">
        <f t="shared" si="19"/>
        <v>0</v>
      </c>
      <c r="Q111" s="165"/>
      <c r="R111" s="165"/>
      <c r="S111" s="158">
        <f t="shared" si="20"/>
        <v>0</v>
      </c>
      <c r="T111" s="165"/>
      <c r="U111" s="165"/>
      <c r="V111" s="180"/>
      <c r="W111" s="166"/>
      <c r="X111" s="166"/>
    </row>
    <row r="112" spans="1:24" s="167" customFormat="1" ht="21">
      <c r="A112" s="161" t="s">
        <v>177</v>
      </c>
      <c r="B112" s="146" t="s">
        <v>178</v>
      </c>
      <c r="C112" s="162" t="s">
        <v>10</v>
      </c>
      <c r="D112" s="163">
        <f>+E112+F112</f>
        <v>0</v>
      </c>
      <c r="E112" s="164"/>
      <c r="F112" s="165"/>
      <c r="G112" s="158">
        <f t="shared" si="22"/>
        <v>0</v>
      </c>
      <c r="H112" s="165"/>
      <c r="I112" s="165"/>
      <c r="J112" s="158">
        <f t="shared" si="23"/>
        <v>0</v>
      </c>
      <c r="K112" s="165"/>
      <c r="L112" s="165"/>
      <c r="M112" s="158">
        <f t="shared" si="24"/>
        <v>0</v>
      </c>
      <c r="N112" s="158">
        <f t="shared" si="25"/>
        <v>0</v>
      </c>
      <c r="O112" s="158">
        <f t="shared" si="26"/>
        <v>0</v>
      </c>
      <c r="P112" s="158">
        <f t="shared" si="19"/>
        <v>0</v>
      </c>
      <c r="Q112" s="165"/>
      <c r="R112" s="165"/>
      <c r="S112" s="158">
        <f t="shared" si="20"/>
        <v>0</v>
      </c>
      <c r="T112" s="165"/>
      <c r="U112" s="165"/>
      <c r="V112" s="180"/>
      <c r="W112" s="166"/>
      <c r="X112" s="166"/>
    </row>
    <row r="113" spans="1:24" s="167" customFormat="1" ht="31.5">
      <c r="A113" s="161" t="s">
        <v>179</v>
      </c>
      <c r="B113" s="146" t="s">
        <v>180</v>
      </c>
      <c r="C113" s="162" t="s">
        <v>10</v>
      </c>
      <c r="D113" s="163">
        <f>+E113+F113</f>
        <v>59064.2</v>
      </c>
      <c r="E113" s="164"/>
      <c r="F113" s="165">
        <v>59064.2</v>
      </c>
      <c r="G113" s="158">
        <f t="shared" si="22"/>
        <v>0</v>
      </c>
      <c r="H113" s="165"/>
      <c r="I113" s="165"/>
      <c r="J113" s="158">
        <f t="shared" si="23"/>
        <v>0</v>
      </c>
      <c r="K113" s="165"/>
      <c r="L113" s="165"/>
      <c r="M113" s="158">
        <f t="shared" si="24"/>
        <v>0</v>
      </c>
      <c r="N113" s="158">
        <f t="shared" si="25"/>
        <v>0</v>
      </c>
      <c r="O113" s="158">
        <f t="shared" si="26"/>
        <v>0</v>
      </c>
      <c r="P113" s="158">
        <f t="shared" si="19"/>
        <v>0</v>
      </c>
      <c r="Q113" s="165"/>
      <c r="R113" s="165"/>
      <c r="S113" s="158">
        <f t="shared" si="20"/>
        <v>0</v>
      </c>
      <c r="T113" s="165"/>
      <c r="U113" s="165"/>
      <c r="V113" s="180"/>
      <c r="W113" s="166"/>
      <c r="X113" s="166"/>
    </row>
    <row r="114" spans="1:24" s="167" customFormat="1" ht="32.25" thickBot="1">
      <c r="A114" s="170" t="s">
        <v>181</v>
      </c>
      <c r="B114" s="150" t="s">
        <v>182</v>
      </c>
      <c r="C114" s="171" t="s">
        <v>10</v>
      </c>
      <c r="D114" s="172">
        <f>+E114+F114</f>
        <v>86450.5</v>
      </c>
      <c r="E114" s="173">
        <v>86450.5</v>
      </c>
      <c r="F114" s="174"/>
      <c r="G114" s="158">
        <f t="shared" si="22"/>
        <v>112535</v>
      </c>
      <c r="H114" s="174">
        <v>112535</v>
      </c>
      <c r="I114" s="174"/>
      <c r="J114" s="158">
        <f t="shared" si="23"/>
        <v>110000</v>
      </c>
      <c r="K114" s="174">
        <v>110000</v>
      </c>
      <c r="L114" s="174"/>
      <c r="M114" s="158">
        <f t="shared" si="24"/>
        <v>-2535</v>
      </c>
      <c r="N114" s="158">
        <f t="shared" si="25"/>
        <v>-2535</v>
      </c>
      <c r="O114" s="158">
        <f t="shared" si="26"/>
        <v>0</v>
      </c>
      <c r="P114" s="158">
        <f t="shared" si="19"/>
        <v>100000</v>
      </c>
      <c r="Q114" s="174">
        <v>100000</v>
      </c>
      <c r="R114" s="174"/>
      <c r="S114" s="158">
        <f t="shared" si="20"/>
        <v>90000</v>
      </c>
      <c r="T114" s="174">
        <v>90000</v>
      </c>
      <c r="U114" s="174"/>
      <c r="V114" s="182"/>
      <c r="W114" s="166"/>
      <c r="X114" s="166"/>
    </row>
    <row r="115" spans="1:24" ht="12.75">
      <c r="A115" s="151"/>
      <c r="B115" s="152"/>
      <c r="C115" s="151"/>
      <c r="D115" s="153"/>
      <c r="E115" s="153"/>
      <c r="F115" s="153"/>
      <c r="G115" s="153"/>
      <c r="H115" s="153"/>
      <c r="I115" s="153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183"/>
      <c r="W115" s="147"/>
      <c r="X115" s="147"/>
    </row>
    <row r="116" spans="1:24" ht="12.75">
      <c r="A116" s="151"/>
      <c r="B116" s="152"/>
      <c r="C116" s="151"/>
      <c r="D116" s="153"/>
      <c r="E116" s="153"/>
      <c r="F116" s="153"/>
      <c r="G116" s="153"/>
      <c r="H116" s="153"/>
      <c r="I116" s="153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183"/>
      <c r="W116" s="147"/>
      <c r="X116" s="147"/>
    </row>
    <row r="117" spans="1:21" ht="12.75">
      <c r="A117" s="151"/>
      <c r="B117" s="152"/>
      <c r="C117" s="151"/>
      <c r="D117" s="151"/>
      <c r="E117" s="151"/>
      <c r="F117" s="151"/>
      <c r="G117" s="151"/>
      <c r="H117" s="151"/>
      <c r="I117" s="151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</row>
  </sheetData>
  <sheetProtection/>
  <mergeCells count="28">
    <mergeCell ref="V22:V24"/>
    <mergeCell ref="V42:V44"/>
    <mergeCell ref="V63:V65"/>
    <mergeCell ref="V12:V21"/>
    <mergeCell ref="T1:V1"/>
    <mergeCell ref="V7:V8"/>
    <mergeCell ref="A4:U4"/>
    <mergeCell ref="P7:P8"/>
    <mergeCell ref="Q7:R7"/>
    <mergeCell ref="E7:F7"/>
    <mergeCell ref="B6:B8"/>
    <mergeCell ref="A6:A8"/>
    <mergeCell ref="J6:L6"/>
    <mergeCell ref="P6:R6"/>
    <mergeCell ref="S6:U6"/>
    <mergeCell ref="H7:I7"/>
    <mergeCell ref="K7:L7"/>
    <mergeCell ref="T7:U7"/>
    <mergeCell ref="S7:S8"/>
    <mergeCell ref="J7:J8"/>
    <mergeCell ref="G7:G8"/>
    <mergeCell ref="C6:C8"/>
    <mergeCell ref="D6:F6"/>
    <mergeCell ref="G6:I6"/>
    <mergeCell ref="M6:O6"/>
    <mergeCell ref="M7:M8"/>
    <mergeCell ref="N7:O7"/>
    <mergeCell ref="D7:D8"/>
  </mergeCells>
  <printOptions/>
  <pageMargins left="0" right="0" top="0.1968503937007874" bottom="0.1968503937007874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7"/>
  <sheetViews>
    <sheetView zoomScale="120" zoomScaleNormal="120" zoomScalePageLayoutView="0" workbookViewId="0" topLeftCell="A108">
      <selection activeCell="W114" sqref="A1:W114"/>
    </sheetView>
  </sheetViews>
  <sheetFormatPr defaultColWidth="9.140625" defaultRowHeight="12"/>
  <cols>
    <col min="1" max="1" width="4.7109375" style="139" customWidth="1"/>
    <col min="2" max="2" width="33.140625" style="140" customWidth="1"/>
    <col min="3" max="3" width="5.7109375" style="139" customWidth="1"/>
    <col min="4" max="4" width="10.7109375" style="139" customWidth="1"/>
    <col min="5" max="9" width="10.8515625" style="139" customWidth="1"/>
    <col min="10" max="10" width="8.140625" style="139" customWidth="1"/>
    <col min="11" max="12" width="10.8515625" style="69" customWidth="1"/>
    <col min="13" max="13" width="9.28125" style="69" customWidth="1"/>
    <col min="14" max="15" width="10.8515625" style="69" customWidth="1"/>
    <col min="16" max="16" width="9.421875" style="69" customWidth="1"/>
    <col min="17" max="18" width="10.8515625" style="69" customWidth="1"/>
    <col min="19" max="19" width="9.28125" style="69" customWidth="1"/>
    <col min="20" max="21" width="10.8515625" style="69" customWidth="1"/>
    <col min="22" max="22" width="9.421875" style="69" customWidth="1"/>
    <col min="23" max="23" width="15.28125" style="177" customWidth="1"/>
    <col min="24" max="24" width="9.28125" style="141" customWidth="1"/>
    <col min="25" max="25" width="9.7109375" style="141" bestFit="1" customWidth="1"/>
    <col min="26" max="16384" width="9.28125" style="141" customWidth="1"/>
  </cols>
  <sheetData>
    <row r="1" spans="1:23" s="138" customFormat="1" ht="66.75" customHeight="1">
      <c r="A1" s="136"/>
      <c r="B1" s="137"/>
      <c r="C1" s="136"/>
      <c r="D1" s="136"/>
      <c r="E1" s="136"/>
      <c r="F1" s="136"/>
      <c r="G1" s="136"/>
      <c r="H1" s="136"/>
      <c r="I1" s="136"/>
      <c r="J1" s="136"/>
      <c r="K1" s="84"/>
      <c r="L1" s="84"/>
      <c r="M1" s="85"/>
      <c r="N1" s="85"/>
      <c r="O1" s="85"/>
      <c r="P1" s="85"/>
      <c r="Q1" s="84"/>
      <c r="R1" s="84"/>
      <c r="S1" s="85"/>
      <c r="T1" s="84"/>
      <c r="U1" s="200" t="s">
        <v>746</v>
      </c>
      <c r="V1" s="200"/>
      <c r="W1" s="200"/>
    </row>
    <row r="2" spans="13:23" ht="20.25" customHeight="1">
      <c r="M2" s="70"/>
      <c r="N2" s="70"/>
      <c r="O2" s="70"/>
      <c r="P2" s="70"/>
      <c r="S2" s="70"/>
      <c r="V2" s="86"/>
      <c r="W2" s="176"/>
    </row>
    <row r="3" spans="1:22" ht="1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</row>
    <row r="4" spans="1:22" ht="27" customHeight="1">
      <c r="A4" s="202" t="s">
        <v>760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</row>
    <row r="5" spans="20:23" ht="21" customHeight="1" thickBot="1">
      <c r="T5" s="77"/>
      <c r="W5" s="178" t="s">
        <v>745</v>
      </c>
    </row>
    <row r="6" spans="1:23" ht="21.75" customHeight="1">
      <c r="A6" s="191" t="s">
        <v>1</v>
      </c>
      <c r="B6" s="191" t="s">
        <v>2</v>
      </c>
      <c r="C6" s="187" t="s">
        <v>3</v>
      </c>
      <c r="D6" s="290" t="s">
        <v>747</v>
      </c>
      <c r="E6" s="286" t="s">
        <v>600</v>
      </c>
      <c r="F6" s="286"/>
      <c r="G6" s="286"/>
      <c r="H6" s="188" t="s">
        <v>601</v>
      </c>
      <c r="I6" s="188"/>
      <c r="J6" s="188"/>
      <c r="K6" s="188" t="s">
        <v>183</v>
      </c>
      <c r="L6" s="188"/>
      <c r="M6" s="188"/>
      <c r="N6" s="189" t="s">
        <v>602</v>
      </c>
      <c r="O6" s="189"/>
      <c r="P6" s="189"/>
      <c r="Q6" s="188" t="s">
        <v>184</v>
      </c>
      <c r="R6" s="188"/>
      <c r="S6" s="188"/>
      <c r="T6" s="188" t="s">
        <v>185</v>
      </c>
      <c r="U6" s="188"/>
      <c r="V6" s="188"/>
      <c r="W6" s="175" t="s">
        <v>603</v>
      </c>
    </row>
    <row r="7" spans="1:23" ht="21" customHeight="1">
      <c r="A7" s="191"/>
      <c r="B7" s="191"/>
      <c r="C7" s="187"/>
      <c r="D7" s="283"/>
      <c r="E7" s="185" t="s">
        <v>4</v>
      </c>
      <c r="F7" s="185" t="s">
        <v>5</v>
      </c>
      <c r="G7" s="185"/>
      <c r="H7" s="185" t="s">
        <v>4</v>
      </c>
      <c r="I7" s="185" t="s">
        <v>5</v>
      </c>
      <c r="J7" s="185"/>
      <c r="K7" s="185" t="s">
        <v>4</v>
      </c>
      <c r="L7" s="185" t="s">
        <v>5</v>
      </c>
      <c r="M7" s="185"/>
      <c r="N7" s="185" t="s">
        <v>4</v>
      </c>
      <c r="O7" s="185" t="s">
        <v>5</v>
      </c>
      <c r="P7" s="185"/>
      <c r="Q7" s="185" t="s">
        <v>4</v>
      </c>
      <c r="R7" s="185" t="s">
        <v>5</v>
      </c>
      <c r="S7" s="185"/>
      <c r="T7" s="185" t="s">
        <v>4</v>
      </c>
      <c r="U7" s="185" t="s">
        <v>5</v>
      </c>
      <c r="V7" s="185"/>
      <c r="W7" s="201" t="s">
        <v>604</v>
      </c>
    </row>
    <row r="8" spans="1:23" ht="74.25" customHeight="1">
      <c r="A8" s="191"/>
      <c r="B8" s="191"/>
      <c r="C8" s="187"/>
      <c r="D8" s="289"/>
      <c r="E8" s="185"/>
      <c r="F8" s="135" t="s">
        <v>6</v>
      </c>
      <c r="G8" s="135" t="s">
        <v>7</v>
      </c>
      <c r="H8" s="185"/>
      <c r="I8" s="135" t="s">
        <v>6</v>
      </c>
      <c r="J8" s="135" t="s">
        <v>7</v>
      </c>
      <c r="K8" s="185"/>
      <c r="L8" s="135" t="s">
        <v>6</v>
      </c>
      <c r="M8" s="135" t="s">
        <v>7</v>
      </c>
      <c r="N8" s="185"/>
      <c r="O8" s="135" t="s">
        <v>6</v>
      </c>
      <c r="P8" s="135" t="s">
        <v>7</v>
      </c>
      <c r="Q8" s="185"/>
      <c r="R8" s="135" t="s">
        <v>6</v>
      </c>
      <c r="S8" s="135" t="s">
        <v>7</v>
      </c>
      <c r="T8" s="185"/>
      <c r="U8" s="135" t="s">
        <v>6</v>
      </c>
      <c r="V8" s="135" t="s">
        <v>7</v>
      </c>
      <c r="W8" s="201"/>
    </row>
    <row r="9" spans="1:23" s="144" customFormat="1" ht="23.25" customHeight="1">
      <c r="A9" s="184">
        <v>1</v>
      </c>
      <c r="B9" s="184">
        <v>2</v>
      </c>
      <c r="C9" s="184">
        <v>3</v>
      </c>
      <c r="D9" s="184"/>
      <c r="E9" s="184">
        <v>4</v>
      </c>
      <c r="F9" s="184">
        <v>5</v>
      </c>
      <c r="G9" s="184">
        <v>6</v>
      </c>
      <c r="H9" s="184">
        <v>7</v>
      </c>
      <c r="I9" s="134">
        <v>8</v>
      </c>
      <c r="J9" s="134">
        <v>9</v>
      </c>
      <c r="K9" s="134">
        <v>10</v>
      </c>
      <c r="L9" s="134">
        <v>11</v>
      </c>
      <c r="M9" s="134">
        <v>12</v>
      </c>
      <c r="N9" s="134">
        <v>13</v>
      </c>
      <c r="O9" s="134">
        <v>14</v>
      </c>
      <c r="P9" s="134">
        <v>15</v>
      </c>
      <c r="Q9" s="134">
        <v>16</v>
      </c>
      <c r="R9" s="134">
        <v>17</v>
      </c>
      <c r="S9" s="134">
        <v>18</v>
      </c>
      <c r="T9" s="134">
        <v>19</v>
      </c>
      <c r="U9" s="134">
        <v>20</v>
      </c>
      <c r="V9" s="134">
        <v>21</v>
      </c>
      <c r="W9" s="179">
        <v>22</v>
      </c>
    </row>
    <row r="10" spans="1:26" s="160" customFormat="1" ht="12.75">
      <c r="A10" s="284" t="s">
        <v>8</v>
      </c>
      <c r="B10" s="145" t="s">
        <v>9</v>
      </c>
      <c r="C10" s="284" t="s">
        <v>10</v>
      </c>
      <c r="D10" s="284"/>
      <c r="E10" s="158">
        <f>+F10+G10-59064.2</f>
        <v>3694142.4709999994</v>
      </c>
      <c r="F10" s="158">
        <f>+F12+F46+F63</f>
        <v>3179153.55</v>
      </c>
      <c r="G10" s="158">
        <f>+G12+G46+G63</f>
        <v>574053.1209999999</v>
      </c>
      <c r="H10" s="158">
        <f>+I10+J10</f>
        <v>3150000</v>
      </c>
      <c r="I10" s="158">
        <f>+I12+I46+I63</f>
        <v>3150000</v>
      </c>
      <c r="J10" s="158">
        <f>+J12+J46+J63</f>
        <v>0</v>
      </c>
      <c r="K10" s="158">
        <f aca="true" t="shared" si="0" ref="K10:K73">+L10+M10</f>
        <v>3810000</v>
      </c>
      <c r="L10" s="158">
        <f>+L12+L46+L63</f>
        <v>3310000</v>
      </c>
      <c r="M10" s="158">
        <f>+M12+M46+M63</f>
        <v>500000</v>
      </c>
      <c r="N10" s="158">
        <f aca="true" t="shared" si="1" ref="N10:P41">+K10-H10</f>
        <v>660000</v>
      </c>
      <c r="O10" s="158">
        <f t="shared" si="1"/>
        <v>160000</v>
      </c>
      <c r="P10" s="158">
        <f t="shared" si="1"/>
        <v>500000</v>
      </c>
      <c r="Q10" s="158">
        <f>+R10+S10</f>
        <v>3811492</v>
      </c>
      <c r="R10" s="158">
        <f>+R12+R46+R63</f>
        <v>3311492</v>
      </c>
      <c r="S10" s="158">
        <f>+S12+S46+S63</f>
        <v>500000</v>
      </c>
      <c r="T10" s="158">
        <f>+U10+V10</f>
        <v>3824620</v>
      </c>
      <c r="U10" s="158">
        <f>+U12+U46+U63</f>
        <v>3324620</v>
      </c>
      <c r="V10" s="158">
        <f>+V12+V46+V63</f>
        <v>500000</v>
      </c>
      <c r="W10" s="180"/>
      <c r="X10" s="159"/>
      <c r="Y10" s="159"/>
      <c r="Z10" s="159"/>
    </row>
    <row r="11" spans="1:25" s="167" customFormat="1" ht="12.75">
      <c r="A11" s="285"/>
      <c r="B11" s="146" t="s">
        <v>5</v>
      </c>
      <c r="C11" s="285"/>
      <c r="D11" s="285"/>
      <c r="E11" s="158">
        <f aca="true" t="shared" si="2" ref="E11:E62">+F11+G11</f>
        <v>0</v>
      </c>
      <c r="F11" s="165"/>
      <c r="G11" s="165"/>
      <c r="H11" s="158"/>
      <c r="I11" s="165"/>
      <c r="J11" s="165"/>
      <c r="K11" s="158">
        <f t="shared" si="0"/>
        <v>0</v>
      </c>
      <c r="L11" s="165"/>
      <c r="M11" s="165"/>
      <c r="N11" s="158">
        <f t="shared" si="1"/>
        <v>0</v>
      </c>
      <c r="O11" s="158">
        <f t="shared" si="1"/>
        <v>0</v>
      </c>
      <c r="P11" s="158">
        <f t="shared" si="1"/>
        <v>0</v>
      </c>
      <c r="Q11" s="158">
        <f aca="true" t="shared" si="3" ref="Q11:Q74">+R11+S11</f>
        <v>0</v>
      </c>
      <c r="R11" s="165"/>
      <c r="S11" s="165"/>
      <c r="T11" s="158">
        <f aca="true" t="shared" si="4" ref="T11:T74">+U11+V11</f>
        <v>0</v>
      </c>
      <c r="U11" s="165"/>
      <c r="V11" s="165"/>
      <c r="W11" s="180"/>
      <c r="X11" s="166"/>
      <c r="Y11" s="166"/>
    </row>
    <row r="12" spans="1:25" s="160" customFormat="1" ht="42">
      <c r="A12" s="284" t="s">
        <v>11</v>
      </c>
      <c r="B12" s="145" t="s">
        <v>12</v>
      </c>
      <c r="C12" s="284" t="s">
        <v>13</v>
      </c>
      <c r="D12" s="284"/>
      <c r="E12" s="158">
        <f t="shared" si="2"/>
        <v>951810.15</v>
      </c>
      <c r="F12" s="158">
        <f>+F14+F19+F22+F42</f>
        <v>951810.15</v>
      </c>
      <c r="G12" s="158">
        <f>+G14+G19+G22+G42</f>
        <v>0</v>
      </c>
      <c r="H12" s="158">
        <f>+I12+J12</f>
        <v>937401.5</v>
      </c>
      <c r="I12" s="158">
        <f>+I14+I19+I22+I42</f>
        <v>937401.5</v>
      </c>
      <c r="J12" s="158">
        <f>+J14+J19+J22+J42</f>
        <v>0</v>
      </c>
      <c r="K12" s="158">
        <f t="shared" si="0"/>
        <v>995475.4</v>
      </c>
      <c r="L12" s="158">
        <f>+L14+L19+L22+L42</f>
        <v>995475.4</v>
      </c>
      <c r="M12" s="158">
        <f>+M14+M19+M22+M42</f>
        <v>0</v>
      </c>
      <c r="N12" s="158">
        <f t="shared" si="1"/>
        <v>58073.90000000002</v>
      </c>
      <c r="O12" s="158">
        <f t="shared" si="1"/>
        <v>58073.90000000002</v>
      </c>
      <c r="P12" s="158">
        <f t="shared" si="1"/>
        <v>0</v>
      </c>
      <c r="Q12" s="158">
        <f t="shared" si="3"/>
        <v>1061530</v>
      </c>
      <c r="R12" s="158">
        <f>+R14+R19+R22+R42</f>
        <v>1061530</v>
      </c>
      <c r="S12" s="158">
        <f>+S14+S19+S22+S42</f>
        <v>0</v>
      </c>
      <c r="T12" s="158">
        <f t="shared" si="4"/>
        <v>1075815.4</v>
      </c>
      <c r="U12" s="158">
        <f>+U14+U19+U22+U42</f>
        <v>1075815.4</v>
      </c>
      <c r="V12" s="158">
        <f>+V14+V19+V22+V42</f>
        <v>0</v>
      </c>
      <c r="W12" s="197" t="s">
        <v>741</v>
      </c>
      <c r="X12" s="159"/>
      <c r="Y12" s="159"/>
    </row>
    <row r="13" spans="1:25" s="167" customFormat="1" ht="12.75" customHeight="1">
      <c r="A13" s="285"/>
      <c r="B13" s="146" t="s">
        <v>5</v>
      </c>
      <c r="C13" s="285"/>
      <c r="D13" s="285"/>
      <c r="E13" s="158">
        <f t="shared" si="2"/>
        <v>0</v>
      </c>
      <c r="F13" s="165"/>
      <c r="G13" s="165"/>
      <c r="H13" s="158"/>
      <c r="I13" s="165"/>
      <c r="J13" s="165"/>
      <c r="K13" s="158">
        <f t="shared" si="0"/>
        <v>0</v>
      </c>
      <c r="L13" s="165"/>
      <c r="M13" s="165"/>
      <c r="N13" s="158">
        <f t="shared" si="1"/>
        <v>0</v>
      </c>
      <c r="O13" s="158">
        <f t="shared" si="1"/>
        <v>0</v>
      </c>
      <c r="P13" s="158">
        <f t="shared" si="1"/>
        <v>0</v>
      </c>
      <c r="Q13" s="158">
        <f t="shared" si="3"/>
        <v>0</v>
      </c>
      <c r="R13" s="165"/>
      <c r="S13" s="165"/>
      <c r="T13" s="158">
        <f t="shared" si="4"/>
        <v>0</v>
      </c>
      <c r="U13" s="165"/>
      <c r="V13" s="165"/>
      <c r="W13" s="198"/>
      <c r="X13" s="166"/>
      <c r="Y13" s="166"/>
    </row>
    <row r="14" spans="1:25" s="160" customFormat="1" ht="42" customHeight="1">
      <c r="A14" s="284" t="s">
        <v>14</v>
      </c>
      <c r="B14" s="145" t="s">
        <v>15</v>
      </c>
      <c r="C14" s="284" t="s">
        <v>16</v>
      </c>
      <c r="D14" s="293" t="s">
        <v>748</v>
      </c>
      <c r="E14" s="158">
        <f t="shared" si="2"/>
        <v>304658.28</v>
      </c>
      <c r="F14" s="158">
        <f>+F16+F17+F18</f>
        <v>304658.28</v>
      </c>
      <c r="G14" s="158">
        <f>+G16+G17+G18</f>
        <v>0</v>
      </c>
      <c r="H14" s="158">
        <f>+I14+J14</f>
        <v>302600.5</v>
      </c>
      <c r="I14" s="158">
        <f>+I16+I17+I18</f>
        <v>302600.5</v>
      </c>
      <c r="J14" s="158">
        <f>+J16+J17+J18</f>
        <v>0</v>
      </c>
      <c r="K14" s="158">
        <f t="shared" si="0"/>
        <v>304285.4</v>
      </c>
      <c r="L14" s="158">
        <f>+L16+L17+L18</f>
        <v>304285.4</v>
      </c>
      <c r="M14" s="158">
        <f>+M16+M17+M18</f>
        <v>0</v>
      </c>
      <c r="N14" s="158">
        <f t="shared" si="1"/>
        <v>1684.9000000000233</v>
      </c>
      <c r="O14" s="158">
        <f t="shared" si="1"/>
        <v>1684.9000000000233</v>
      </c>
      <c r="P14" s="158">
        <f t="shared" si="1"/>
        <v>0</v>
      </c>
      <c r="Q14" s="158">
        <f t="shared" si="3"/>
        <v>310000</v>
      </c>
      <c r="R14" s="158">
        <f>+R16+R17+R18</f>
        <v>310000</v>
      </c>
      <c r="S14" s="158">
        <f>+S16+S17+S18</f>
        <v>0</v>
      </c>
      <c r="T14" s="158">
        <f t="shared" si="4"/>
        <v>324285.4</v>
      </c>
      <c r="U14" s="158">
        <f>+U16+U17+U18</f>
        <v>324285.4</v>
      </c>
      <c r="V14" s="158">
        <f>+V16+V17+V18</f>
        <v>0</v>
      </c>
      <c r="W14" s="198"/>
      <c r="X14" s="159"/>
      <c r="Y14" s="159"/>
    </row>
    <row r="15" spans="1:25" s="167" customFormat="1" ht="10.5" customHeight="1">
      <c r="A15" s="285"/>
      <c r="B15" s="146" t="s">
        <v>5</v>
      </c>
      <c r="C15" s="285"/>
      <c r="D15" s="291"/>
      <c r="E15" s="158">
        <f t="shared" si="2"/>
        <v>0</v>
      </c>
      <c r="F15" s="165"/>
      <c r="G15" s="165"/>
      <c r="H15" s="158"/>
      <c r="I15" s="165"/>
      <c r="J15" s="165"/>
      <c r="K15" s="158">
        <f t="shared" si="0"/>
        <v>0</v>
      </c>
      <c r="L15" s="165"/>
      <c r="M15" s="165"/>
      <c r="N15" s="158">
        <f t="shared" si="1"/>
        <v>0</v>
      </c>
      <c r="O15" s="158">
        <f t="shared" si="1"/>
        <v>0</v>
      </c>
      <c r="P15" s="158">
        <f t="shared" si="1"/>
        <v>0</v>
      </c>
      <c r="Q15" s="158">
        <f t="shared" si="3"/>
        <v>0</v>
      </c>
      <c r="R15" s="165"/>
      <c r="S15" s="165"/>
      <c r="T15" s="158">
        <f t="shared" si="4"/>
        <v>0</v>
      </c>
      <c r="U15" s="165"/>
      <c r="V15" s="165"/>
      <c r="W15" s="198"/>
      <c r="X15" s="166"/>
      <c r="Y15" s="166"/>
    </row>
    <row r="16" spans="1:25" s="160" customFormat="1" ht="31.5">
      <c r="A16" s="287" t="s">
        <v>17</v>
      </c>
      <c r="B16" s="148" t="s">
        <v>18</v>
      </c>
      <c r="C16" s="287" t="s">
        <v>10</v>
      </c>
      <c r="D16" s="291"/>
      <c r="E16" s="158">
        <f t="shared" si="2"/>
        <v>94745.28</v>
      </c>
      <c r="F16" s="165">
        <v>94745.28</v>
      </c>
      <c r="G16" s="165"/>
      <c r="H16" s="158">
        <f aca="true" t="shared" si="5" ref="H16:H56">+I16+J16</f>
        <v>88900</v>
      </c>
      <c r="I16" s="165">
        <v>88900</v>
      </c>
      <c r="J16" s="165"/>
      <c r="K16" s="158">
        <f t="shared" si="0"/>
        <v>79285.4</v>
      </c>
      <c r="L16" s="165">
        <v>79285.4</v>
      </c>
      <c r="M16" s="165"/>
      <c r="N16" s="165">
        <f t="shared" si="1"/>
        <v>-9614.600000000006</v>
      </c>
      <c r="O16" s="165">
        <f t="shared" si="1"/>
        <v>-9614.600000000006</v>
      </c>
      <c r="P16" s="165">
        <f t="shared" si="1"/>
        <v>0</v>
      </c>
      <c r="Q16" s="158">
        <f t="shared" si="3"/>
        <v>80000</v>
      </c>
      <c r="R16" s="165">
        <v>80000</v>
      </c>
      <c r="S16" s="165"/>
      <c r="T16" s="158">
        <f t="shared" si="4"/>
        <v>79285.4</v>
      </c>
      <c r="U16" s="165">
        <v>79285.4</v>
      </c>
      <c r="V16" s="165"/>
      <c r="W16" s="198"/>
      <c r="X16" s="159"/>
      <c r="Y16" s="159"/>
    </row>
    <row r="17" spans="1:25" s="160" customFormat="1" ht="31.5">
      <c r="A17" s="287" t="s">
        <v>19</v>
      </c>
      <c r="B17" s="148" t="s">
        <v>20</v>
      </c>
      <c r="C17" s="287" t="s">
        <v>10</v>
      </c>
      <c r="D17" s="291"/>
      <c r="E17" s="158">
        <f t="shared" si="2"/>
        <v>33140.6</v>
      </c>
      <c r="F17" s="165">
        <v>33140.6</v>
      </c>
      <c r="G17" s="165"/>
      <c r="H17" s="158">
        <f t="shared" si="5"/>
        <v>34300.5</v>
      </c>
      <c r="I17" s="165">
        <v>34300.5</v>
      </c>
      <c r="J17" s="165"/>
      <c r="K17" s="158">
        <f t="shared" si="0"/>
        <v>35000</v>
      </c>
      <c r="L17" s="165">
        <v>35000</v>
      </c>
      <c r="M17" s="165"/>
      <c r="N17" s="165">
        <f t="shared" si="1"/>
        <v>699.5</v>
      </c>
      <c r="O17" s="165">
        <f t="shared" si="1"/>
        <v>699.5</v>
      </c>
      <c r="P17" s="165">
        <f t="shared" si="1"/>
        <v>0</v>
      </c>
      <c r="Q17" s="158">
        <f t="shared" si="3"/>
        <v>30000</v>
      </c>
      <c r="R17" s="165">
        <v>30000</v>
      </c>
      <c r="S17" s="165"/>
      <c r="T17" s="158">
        <f t="shared" si="4"/>
        <v>35000</v>
      </c>
      <c r="U17" s="165">
        <v>35000</v>
      </c>
      <c r="V17" s="165"/>
      <c r="W17" s="198"/>
      <c r="X17" s="159"/>
      <c r="Y17" s="159"/>
    </row>
    <row r="18" spans="1:25" s="160" customFormat="1" ht="21">
      <c r="A18" s="287" t="s">
        <v>21</v>
      </c>
      <c r="B18" s="148" t="s">
        <v>22</v>
      </c>
      <c r="C18" s="287" t="s">
        <v>10</v>
      </c>
      <c r="D18" s="291"/>
      <c r="E18" s="158">
        <f t="shared" si="2"/>
        <v>176772.4</v>
      </c>
      <c r="F18" s="165">
        <v>176772.4</v>
      </c>
      <c r="G18" s="165"/>
      <c r="H18" s="158">
        <f t="shared" si="5"/>
        <v>179400</v>
      </c>
      <c r="I18" s="165">
        <v>179400</v>
      </c>
      <c r="J18" s="165"/>
      <c r="K18" s="158">
        <f t="shared" si="0"/>
        <v>190000</v>
      </c>
      <c r="L18" s="165">
        <v>190000</v>
      </c>
      <c r="M18" s="165"/>
      <c r="N18" s="165">
        <f t="shared" si="1"/>
        <v>10600</v>
      </c>
      <c r="O18" s="165">
        <f t="shared" si="1"/>
        <v>10600</v>
      </c>
      <c r="P18" s="165">
        <f t="shared" si="1"/>
        <v>0</v>
      </c>
      <c r="Q18" s="158">
        <f t="shared" si="3"/>
        <v>200000</v>
      </c>
      <c r="R18" s="165">
        <v>200000</v>
      </c>
      <c r="S18" s="165"/>
      <c r="T18" s="158">
        <f t="shared" si="4"/>
        <v>210000</v>
      </c>
      <c r="U18" s="165">
        <v>210000</v>
      </c>
      <c r="V18" s="165"/>
      <c r="W18" s="198"/>
      <c r="X18" s="159"/>
      <c r="Y18" s="159"/>
    </row>
    <row r="19" spans="1:25" s="160" customFormat="1" ht="10.5" customHeight="1">
      <c r="A19" s="284" t="s">
        <v>23</v>
      </c>
      <c r="B19" s="145" t="s">
        <v>24</v>
      </c>
      <c r="C19" s="284" t="s">
        <v>25</v>
      </c>
      <c r="D19" s="291"/>
      <c r="E19" s="158">
        <f t="shared" si="2"/>
        <v>522759.7</v>
      </c>
      <c r="F19" s="158">
        <f>+F21</f>
        <v>522759.7</v>
      </c>
      <c r="G19" s="158">
        <f>+G21</f>
        <v>0</v>
      </c>
      <c r="H19" s="158">
        <f t="shared" si="5"/>
        <v>506461</v>
      </c>
      <c r="I19" s="158">
        <f>+I21</f>
        <v>506461</v>
      </c>
      <c r="J19" s="158">
        <f>+J21</f>
        <v>0</v>
      </c>
      <c r="K19" s="158">
        <f t="shared" si="0"/>
        <v>539660</v>
      </c>
      <c r="L19" s="158">
        <f>+L21</f>
        <v>539660</v>
      </c>
      <c r="M19" s="158">
        <f>+M21</f>
        <v>0</v>
      </c>
      <c r="N19" s="158">
        <f t="shared" si="1"/>
        <v>33199</v>
      </c>
      <c r="O19" s="158">
        <f t="shared" si="1"/>
        <v>33199</v>
      </c>
      <c r="P19" s="158">
        <f t="shared" si="1"/>
        <v>0</v>
      </c>
      <c r="Q19" s="158">
        <f t="shared" si="3"/>
        <v>600000</v>
      </c>
      <c r="R19" s="158">
        <f>+R21</f>
        <v>600000</v>
      </c>
      <c r="S19" s="158">
        <f>+S21</f>
        <v>0</v>
      </c>
      <c r="T19" s="158">
        <f t="shared" si="4"/>
        <v>600000</v>
      </c>
      <c r="U19" s="158">
        <f>+U21</f>
        <v>600000</v>
      </c>
      <c r="V19" s="158">
        <f>+V21</f>
        <v>0</v>
      </c>
      <c r="W19" s="198"/>
      <c r="X19" s="159"/>
      <c r="Y19" s="159"/>
    </row>
    <row r="20" spans="1:25" s="167" customFormat="1" ht="18" customHeight="1">
      <c r="A20" s="285"/>
      <c r="B20" s="146" t="s">
        <v>5</v>
      </c>
      <c r="C20" s="285"/>
      <c r="D20" s="291"/>
      <c r="E20" s="158">
        <f t="shared" si="2"/>
        <v>0</v>
      </c>
      <c r="F20" s="165"/>
      <c r="G20" s="165"/>
      <c r="H20" s="158">
        <f t="shared" si="5"/>
        <v>0</v>
      </c>
      <c r="I20" s="165"/>
      <c r="J20" s="165"/>
      <c r="K20" s="158">
        <f t="shared" si="0"/>
        <v>0</v>
      </c>
      <c r="L20" s="165"/>
      <c r="M20" s="165"/>
      <c r="N20" s="158">
        <f t="shared" si="1"/>
        <v>0</v>
      </c>
      <c r="O20" s="158">
        <f t="shared" si="1"/>
        <v>0</v>
      </c>
      <c r="P20" s="158">
        <f t="shared" si="1"/>
        <v>0</v>
      </c>
      <c r="Q20" s="158">
        <f t="shared" si="3"/>
        <v>0</v>
      </c>
      <c r="R20" s="165"/>
      <c r="S20" s="165"/>
      <c r="T20" s="158">
        <f t="shared" si="4"/>
        <v>0</v>
      </c>
      <c r="U20" s="165"/>
      <c r="V20" s="165"/>
      <c r="W20" s="198"/>
      <c r="X20" s="166"/>
      <c r="Y20" s="166"/>
    </row>
    <row r="21" spans="1:25" s="160" customFormat="1" ht="18" customHeight="1">
      <c r="A21" s="287" t="s">
        <v>26</v>
      </c>
      <c r="B21" s="148" t="s">
        <v>27</v>
      </c>
      <c r="C21" s="287" t="s">
        <v>10</v>
      </c>
      <c r="D21" s="292"/>
      <c r="E21" s="158">
        <f t="shared" si="2"/>
        <v>522759.7</v>
      </c>
      <c r="F21" s="165">
        <v>522759.7</v>
      </c>
      <c r="G21" s="165"/>
      <c r="H21" s="158">
        <f t="shared" si="5"/>
        <v>506461</v>
      </c>
      <c r="I21" s="165">
        <f>29461+477000</f>
        <v>506461</v>
      </c>
      <c r="J21" s="165"/>
      <c r="K21" s="158">
        <f t="shared" si="0"/>
        <v>539660</v>
      </c>
      <c r="L21" s="165">
        <v>539660</v>
      </c>
      <c r="M21" s="165"/>
      <c r="N21" s="158">
        <f t="shared" si="1"/>
        <v>33199</v>
      </c>
      <c r="O21" s="158">
        <f t="shared" si="1"/>
        <v>33199</v>
      </c>
      <c r="P21" s="158">
        <f t="shared" si="1"/>
        <v>0</v>
      </c>
      <c r="Q21" s="158">
        <f t="shared" si="3"/>
        <v>600000</v>
      </c>
      <c r="R21" s="165">
        <v>600000</v>
      </c>
      <c r="S21" s="165"/>
      <c r="T21" s="158">
        <f t="shared" si="4"/>
        <v>600000</v>
      </c>
      <c r="U21" s="165">
        <v>600000</v>
      </c>
      <c r="V21" s="165"/>
      <c r="W21" s="199"/>
      <c r="X21" s="159"/>
      <c r="Y21" s="159"/>
    </row>
    <row r="22" spans="1:25" s="160" customFormat="1" ht="115.5">
      <c r="A22" s="284" t="s">
        <v>28</v>
      </c>
      <c r="B22" s="145" t="s">
        <v>29</v>
      </c>
      <c r="C22" s="284" t="s">
        <v>30</v>
      </c>
      <c r="D22" s="284"/>
      <c r="E22" s="158">
        <f t="shared" si="2"/>
        <v>73922.27</v>
      </c>
      <c r="F22" s="158">
        <f>+F24+F25+F26+F27+F28+F30+F29+F31+F32+F33+F34+F35+F36+F37+F38+F39+F40+F41</f>
        <v>73922.27</v>
      </c>
      <c r="G22" s="158">
        <f>+G24+G25+G26+G27+G28+G30+G29+G31+G32+G33+G34+G35+G36+G37+G38+G39+G40+G41</f>
        <v>0</v>
      </c>
      <c r="H22" s="158">
        <f t="shared" si="5"/>
        <v>77340</v>
      </c>
      <c r="I22" s="158">
        <f>+I24+I25+I26+I27+I28+I30+I29+I31+I32+I33+I34+I35+I36+I37+I38+I39+I40+I41</f>
        <v>77340</v>
      </c>
      <c r="J22" s="158">
        <f>+J24+J25+J26+J27+J28+J30+J29+J31+J32+J33+J34+J35+J36+J37+J38+J39+J40+J41</f>
        <v>0</v>
      </c>
      <c r="K22" s="158">
        <f t="shared" si="0"/>
        <v>98530</v>
      </c>
      <c r="L22" s="158">
        <f>+L24+L25+L26+L27+L28+L30+L29+L31+L32+L33+L34+L35+L36+L37+L38+L39+L40+L41</f>
        <v>98530</v>
      </c>
      <c r="M22" s="158">
        <f>+M24+M25+M26+M27+M28+M30+M29+M31+M32+M33+M34+M35+M36+M37+M38+M39+M40+M41</f>
        <v>0</v>
      </c>
      <c r="N22" s="158">
        <f t="shared" si="1"/>
        <v>21190</v>
      </c>
      <c r="O22" s="158">
        <f t="shared" si="1"/>
        <v>21190</v>
      </c>
      <c r="P22" s="158">
        <f t="shared" si="1"/>
        <v>0</v>
      </c>
      <c r="Q22" s="158">
        <f t="shared" si="3"/>
        <v>98530</v>
      </c>
      <c r="R22" s="158">
        <f>+R24+R25+R26+R27+R28+R30+R29+R31+R32+R33+R34+R35+R36+R37+R38+R39+R40+R41</f>
        <v>98530</v>
      </c>
      <c r="S22" s="158">
        <f>+S24+S25+S26+S27+S28+S30+S29+S31+S32+S33+S34+S35+S36+S37+S38+S39+S40+S41</f>
        <v>0</v>
      </c>
      <c r="T22" s="158">
        <f t="shared" si="4"/>
        <v>98530</v>
      </c>
      <c r="U22" s="158">
        <f>+U24+U25+U26+U27+U28+U30+U29+U31+U32+U33+U34+U35+U36+U37+U38+U39+U40+U41</f>
        <v>98530</v>
      </c>
      <c r="V22" s="158">
        <f>+V24+V25+V26+V27+V28+V30+V29+V31+V32+V33+V34+V35+V36+V37+V38+V39+V40+V41</f>
        <v>0</v>
      </c>
      <c r="W22" s="194" t="s">
        <v>742</v>
      </c>
      <c r="X22" s="159"/>
      <c r="Y22" s="159"/>
    </row>
    <row r="23" spans="1:25" s="167" customFormat="1" ht="10.5">
      <c r="A23" s="285"/>
      <c r="B23" s="146" t="s">
        <v>5</v>
      </c>
      <c r="C23" s="285"/>
      <c r="D23" s="285"/>
      <c r="E23" s="158">
        <f t="shared" si="2"/>
        <v>0</v>
      </c>
      <c r="F23" s="165"/>
      <c r="G23" s="165"/>
      <c r="H23" s="158">
        <f t="shared" si="5"/>
        <v>0</v>
      </c>
      <c r="I23" s="165"/>
      <c r="J23" s="165"/>
      <c r="K23" s="158">
        <f t="shared" si="0"/>
        <v>0</v>
      </c>
      <c r="L23" s="165"/>
      <c r="M23" s="165"/>
      <c r="N23" s="158">
        <f t="shared" si="1"/>
        <v>0</v>
      </c>
      <c r="O23" s="158">
        <f t="shared" si="1"/>
        <v>0</v>
      </c>
      <c r="P23" s="158">
        <f t="shared" si="1"/>
        <v>0</v>
      </c>
      <c r="Q23" s="158">
        <f t="shared" si="3"/>
        <v>0</v>
      </c>
      <c r="R23" s="165"/>
      <c r="S23" s="165"/>
      <c r="T23" s="158">
        <f t="shared" si="4"/>
        <v>0</v>
      </c>
      <c r="U23" s="165"/>
      <c r="V23" s="165"/>
      <c r="W23" s="195"/>
      <c r="X23" s="166"/>
      <c r="Y23" s="166"/>
    </row>
    <row r="24" spans="1:25" s="167" customFormat="1" ht="52.5">
      <c r="A24" s="285" t="s">
        <v>31</v>
      </c>
      <c r="B24" s="146" t="s">
        <v>32</v>
      </c>
      <c r="C24" s="285" t="s">
        <v>10</v>
      </c>
      <c r="D24" s="293" t="s">
        <v>749</v>
      </c>
      <c r="E24" s="158">
        <f t="shared" si="2"/>
        <v>27529</v>
      </c>
      <c r="F24" s="165">
        <v>27529</v>
      </c>
      <c r="G24" s="165"/>
      <c r="H24" s="158">
        <f t="shared" si="5"/>
        <v>28250</v>
      </c>
      <c r="I24" s="165">
        <v>28250</v>
      </c>
      <c r="J24" s="165"/>
      <c r="K24" s="158">
        <f t="shared" si="0"/>
        <v>28250</v>
      </c>
      <c r="L24" s="165">
        <v>28250</v>
      </c>
      <c r="M24" s="165"/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3"/>
        <v>28250</v>
      </c>
      <c r="R24" s="165">
        <v>28250</v>
      </c>
      <c r="S24" s="165"/>
      <c r="T24" s="158">
        <f t="shared" si="4"/>
        <v>28250</v>
      </c>
      <c r="U24" s="165">
        <v>28250</v>
      </c>
      <c r="V24" s="165"/>
      <c r="W24" s="196"/>
      <c r="X24" s="166"/>
      <c r="Y24" s="166"/>
    </row>
    <row r="25" spans="1:25" s="167" customFormat="1" ht="73.5">
      <c r="A25" s="285" t="s">
        <v>33</v>
      </c>
      <c r="B25" s="146" t="s">
        <v>34</v>
      </c>
      <c r="C25" s="285" t="s">
        <v>10</v>
      </c>
      <c r="D25" s="291"/>
      <c r="E25" s="158">
        <f t="shared" si="2"/>
        <v>0</v>
      </c>
      <c r="F25" s="165">
        <v>0</v>
      </c>
      <c r="G25" s="165"/>
      <c r="H25" s="158">
        <f t="shared" si="5"/>
        <v>0</v>
      </c>
      <c r="I25" s="165"/>
      <c r="J25" s="165"/>
      <c r="K25" s="158">
        <f t="shared" si="0"/>
        <v>0</v>
      </c>
      <c r="L25" s="165"/>
      <c r="M25" s="165"/>
      <c r="N25" s="158">
        <f t="shared" si="1"/>
        <v>0</v>
      </c>
      <c r="O25" s="158">
        <f t="shared" si="1"/>
        <v>0</v>
      </c>
      <c r="P25" s="158">
        <f t="shared" si="1"/>
        <v>0</v>
      </c>
      <c r="Q25" s="158">
        <f t="shared" si="3"/>
        <v>0</v>
      </c>
      <c r="R25" s="165"/>
      <c r="S25" s="165"/>
      <c r="T25" s="158">
        <f t="shared" si="4"/>
        <v>0</v>
      </c>
      <c r="U25" s="165"/>
      <c r="V25" s="165"/>
      <c r="W25" s="180"/>
      <c r="X25" s="166"/>
      <c r="Y25" s="166"/>
    </row>
    <row r="26" spans="1:25" s="167" customFormat="1" ht="42" customHeight="1">
      <c r="A26" s="285" t="s">
        <v>35</v>
      </c>
      <c r="B26" s="146" t="s">
        <v>36</v>
      </c>
      <c r="C26" s="285" t="s">
        <v>10</v>
      </c>
      <c r="D26" s="293" t="s">
        <v>750</v>
      </c>
      <c r="E26" s="158">
        <f t="shared" si="2"/>
        <v>82.5</v>
      </c>
      <c r="F26" s="165">
        <v>82.5</v>
      </c>
      <c r="G26" s="165"/>
      <c r="H26" s="158">
        <f t="shared" si="5"/>
        <v>75</v>
      </c>
      <c r="I26" s="165">
        <v>75</v>
      </c>
      <c r="J26" s="165"/>
      <c r="K26" s="158">
        <f t="shared" si="0"/>
        <v>75</v>
      </c>
      <c r="L26" s="165">
        <v>75</v>
      </c>
      <c r="M26" s="165"/>
      <c r="N26" s="158">
        <f t="shared" si="1"/>
        <v>0</v>
      </c>
      <c r="O26" s="158">
        <f t="shared" si="1"/>
        <v>0</v>
      </c>
      <c r="P26" s="158">
        <f t="shared" si="1"/>
        <v>0</v>
      </c>
      <c r="Q26" s="158">
        <f t="shared" si="3"/>
        <v>75</v>
      </c>
      <c r="R26" s="165">
        <v>75</v>
      </c>
      <c r="S26" s="165"/>
      <c r="T26" s="158">
        <f t="shared" si="4"/>
        <v>75</v>
      </c>
      <c r="U26" s="165">
        <v>75</v>
      </c>
      <c r="V26" s="165"/>
      <c r="W26" s="180"/>
      <c r="X26" s="166"/>
      <c r="Y26" s="166"/>
    </row>
    <row r="27" spans="1:25" s="167" customFormat="1" ht="94.5">
      <c r="A27" s="285" t="s">
        <v>37</v>
      </c>
      <c r="B27" s="146" t="s">
        <v>38</v>
      </c>
      <c r="C27" s="285" t="s">
        <v>10</v>
      </c>
      <c r="D27" s="294"/>
      <c r="E27" s="158">
        <f t="shared" si="2"/>
        <v>2527.5</v>
      </c>
      <c r="F27" s="165">
        <v>2527.5</v>
      </c>
      <c r="G27" s="165"/>
      <c r="H27" s="158">
        <f t="shared" si="5"/>
        <v>2550</v>
      </c>
      <c r="I27" s="165">
        <v>2550</v>
      </c>
      <c r="J27" s="165"/>
      <c r="K27" s="158">
        <f t="shared" si="0"/>
        <v>6600</v>
      </c>
      <c r="L27" s="165">
        <v>6600</v>
      </c>
      <c r="M27" s="165"/>
      <c r="N27" s="158">
        <f t="shared" si="1"/>
        <v>4050</v>
      </c>
      <c r="O27" s="158">
        <f t="shared" si="1"/>
        <v>4050</v>
      </c>
      <c r="P27" s="158">
        <f t="shared" si="1"/>
        <v>0</v>
      </c>
      <c r="Q27" s="158">
        <f t="shared" si="3"/>
        <v>6600</v>
      </c>
      <c r="R27" s="165">
        <v>6600</v>
      </c>
      <c r="S27" s="165"/>
      <c r="T27" s="158">
        <f t="shared" si="4"/>
        <v>6600</v>
      </c>
      <c r="U27" s="165">
        <v>6600</v>
      </c>
      <c r="V27" s="165"/>
      <c r="W27" s="180"/>
      <c r="X27" s="166"/>
      <c r="Y27" s="166"/>
    </row>
    <row r="28" spans="1:25" s="167" customFormat="1" ht="105">
      <c r="A28" s="285" t="s">
        <v>39</v>
      </c>
      <c r="B28" s="146" t="s">
        <v>40</v>
      </c>
      <c r="C28" s="285" t="s">
        <v>10</v>
      </c>
      <c r="D28" s="294"/>
      <c r="E28" s="158">
        <f t="shared" si="2"/>
        <v>1495</v>
      </c>
      <c r="F28" s="165">
        <v>1495</v>
      </c>
      <c r="G28" s="165"/>
      <c r="H28" s="158">
        <f t="shared" si="5"/>
        <v>1750</v>
      </c>
      <c r="I28" s="165">
        <v>1750</v>
      </c>
      <c r="J28" s="165"/>
      <c r="K28" s="158">
        <f t="shared" si="0"/>
        <v>2355</v>
      </c>
      <c r="L28" s="165">
        <v>2355</v>
      </c>
      <c r="M28" s="165"/>
      <c r="N28" s="158">
        <f t="shared" si="1"/>
        <v>605</v>
      </c>
      <c r="O28" s="158">
        <f t="shared" si="1"/>
        <v>605</v>
      </c>
      <c r="P28" s="158">
        <f t="shared" si="1"/>
        <v>0</v>
      </c>
      <c r="Q28" s="158">
        <f t="shared" si="3"/>
        <v>2355</v>
      </c>
      <c r="R28" s="165">
        <v>2355</v>
      </c>
      <c r="S28" s="165"/>
      <c r="T28" s="158">
        <f t="shared" si="4"/>
        <v>2355</v>
      </c>
      <c r="U28" s="165">
        <v>2355</v>
      </c>
      <c r="V28" s="165"/>
      <c r="W28" s="180"/>
      <c r="X28" s="166"/>
      <c r="Y28" s="166"/>
    </row>
    <row r="29" spans="1:25" s="167" customFormat="1" ht="63">
      <c r="A29" s="285" t="s">
        <v>41</v>
      </c>
      <c r="B29" s="146" t="s">
        <v>42</v>
      </c>
      <c r="C29" s="285" t="s">
        <v>10</v>
      </c>
      <c r="D29" s="294"/>
      <c r="E29" s="158">
        <f t="shared" si="2"/>
        <v>512.5</v>
      </c>
      <c r="F29" s="165">
        <v>512.5</v>
      </c>
      <c r="G29" s="165"/>
      <c r="H29" s="158">
        <f t="shared" si="5"/>
        <v>500</v>
      </c>
      <c r="I29" s="165">
        <v>500</v>
      </c>
      <c r="J29" s="165"/>
      <c r="K29" s="158">
        <f t="shared" si="0"/>
        <v>2500</v>
      </c>
      <c r="L29" s="165">
        <v>2500</v>
      </c>
      <c r="M29" s="165"/>
      <c r="N29" s="158">
        <f t="shared" si="1"/>
        <v>2000</v>
      </c>
      <c r="O29" s="158">
        <f t="shared" si="1"/>
        <v>2000</v>
      </c>
      <c r="P29" s="158">
        <f t="shared" si="1"/>
        <v>0</v>
      </c>
      <c r="Q29" s="158">
        <f t="shared" si="3"/>
        <v>2500</v>
      </c>
      <c r="R29" s="165">
        <v>2500</v>
      </c>
      <c r="S29" s="165"/>
      <c r="T29" s="158">
        <f t="shared" si="4"/>
        <v>2500</v>
      </c>
      <c r="U29" s="165">
        <v>2500</v>
      </c>
      <c r="V29" s="165"/>
      <c r="W29" s="180"/>
      <c r="X29" s="166"/>
      <c r="Y29" s="166"/>
    </row>
    <row r="30" spans="1:25" s="167" customFormat="1" ht="42">
      <c r="A30" s="285" t="s">
        <v>43</v>
      </c>
      <c r="B30" s="146" t="s">
        <v>44</v>
      </c>
      <c r="C30" s="285" t="s">
        <v>10</v>
      </c>
      <c r="D30" s="294"/>
      <c r="E30" s="158">
        <f t="shared" si="2"/>
        <v>18089.9</v>
      </c>
      <c r="F30" s="165">
        <v>18089.9</v>
      </c>
      <c r="G30" s="165"/>
      <c r="H30" s="158">
        <f t="shared" si="5"/>
        <v>18700</v>
      </c>
      <c r="I30" s="165">
        <v>18700</v>
      </c>
      <c r="J30" s="165"/>
      <c r="K30" s="158">
        <f t="shared" si="0"/>
        <v>19000</v>
      </c>
      <c r="L30" s="165">
        <v>19000</v>
      </c>
      <c r="M30" s="165"/>
      <c r="N30" s="158">
        <f t="shared" si="1"/>
        <v>300</v>
      </c>
      <c r="O30" s="158">
        <f t="shared" si="1"/>
        <v>300</v>
      </c>
      <c r="P30" s="158">
        <f t="shared" si="1"/>
        <v>0</v>
      </c>
      <c r="Q30" s="158">
        <f t="shared" si="3"/>
        <v>19000</v>
      </c>
      <c r="R30" s="165">
        <v>19000</v>
      </c>
      <c r="S30" s="165"/>
      <c r="T30" s="158">
        <f t="shared" si="4"/>
        <v>19000</v>
      </c>
      <c r="U30" s="165">
        <v>19000</v>
      </c>
      <c r="V30" s="165"/>
      <c r="W30" s="180"/>
      <c r="X30" s="166"/>
      <c r="Y30" s="166"/>
    </row>
    <row r="31" spans="1:25" s="167" customFormat="1" ht="94.5">
      <c r="A31" s="285" t="s">
        <v>45</v>
      </c>
      <c r="B31" s="146" t="s">
        <v>46</v>
      </c>
      <c r="C31" s="285" t="s">
        <v>10</v>
      </c>
      <c r="D31" s="294"/>
      <c r="E31" s="158">
        <f t="shared" si="2"/>
        <v>2414.8</v>
      </c>
      <c r="F31" s="165">
        <v>2414.8</v>
      </c>
      <c r="G31" s="165"/>
      <c r="H31" s="158">
        <f t="shared" si="5"/>
        <v>2415</v>
      </c>
      <c r="I31" s="165">
        <v>2415</v>
      </c>
      <c r="J31" s="165"/>
      <c r="K31" s="158">
        <f t="shared" si="0"/>
        <v>3200</v>
      </c>
      <c r="L31" s="165">
        <v>3200</v>
      </c>
      <c r="M31" s="165"/>
      <c r="N31" s="158">
        <f t="shared" si="1"/>
        <v>785</v>
      </c>
      <c r="O31" s="158">
        <f t="shared" si="1"/>
        <v>785</v>
      </c>
      <c r="P31" s="158">
        <f t="shared" si="1"/>
        <v>0</v>
      </c>
      <c r="Q31" s="158">
        <f t="shared" si="3"/>
        <v>3200</v>
      </c>
      <c r="R31" s="165">
        <v>3200</v>
      </c>
      <c r="S31" s="165"/>
      <c r="T31" s="158">
        <f t="shared" si="4"/>
        <v>3200</v>
      </c>
      <c r="U31" s="165">
        <v>3200</v>
      </c>
      <c r="V31" s="165"/>
      <c r="W31" s="180"/>
      <c r="X31" s="166"/>
      <c r="Y31" s="166"/>
    </row>
    <row r="32" spans="1:25" s="167" customFormat="1" ht="84">
      <c r="A32" s="285" t="s">
        <v>47</v>
      </c>
      <c r="B32" s="146" t="s">
        <v>48</v>
      </c>
      <c r="C32" s="285" t="s">
        <v>10</v>
      </c>
      <c r="D32" s="294"/>
      <c r="E32" s="158">
        <f t="shared" si="2"/>
        <v>1340.33</v>
      </c>
      <c r="F32" s="165">
        <v>1340.33</v>
      </c>
      <c r="G32" s="165"/>
      <c r="H32" s="158">
        <f t="shared" si="5"/>
        <v>1500</v>
      </c>
      <c r="I32" s="165">
        <v>1500</v>
      </c>
      <c r="J32" s="165"/>
      <c r="K32" s="158">
        <f t="shared" si="0"/>
        <v>1375</v>
      </c>
      <c r="L32" s="165">
        <v>1375</v>
      </c>
      <c r="M32" s="165"/>
      <c r="N32" s="158">
        <f t="shared" si="1"/>
        <v>-125</v>
      </c>
      <c r="O32" s="158">
        <f t="shared" si="1"/>
        <v>-125</v>
      </c>
      <c r="P32" s="158">
        <f t="shared" si="1"/>
        <v>0</v>
      </c>
      <c r="Q32" s="158">
        <f t="shared" si="3"/>
        <v>1375</v>
      </c>
      <c r="R32" s="165">
        <v>1375</v>
      </c>
      <c r="S32" s="165"/>
      <c r="T32" s="158">
        <f t="shared" si="4"/>
        <v>1375</v>
      </c>
      <c r="U32" s="165">
        <v>1375</v>
      </c>
      <c r="V32" s="165"/>
      <c r="W32" s="180"/>
      <c r="X32" s="166"/>
      <c r="Y32" s="166"/>
    </row>
    <row r="33" spans="1:25" s="167" customFormat="1" ht="52.5">
      <c r="A33" s="285" t="s">
        <v>49</v>
      </c>
      <c r="B33" s="146" t="s">
        <v>50</v>
      </c>
      <c r="C33" s="285" t="s">
        <v>10</v>
      </c>
      <c r="D33" s="294"/>
      <c r="E33" s="158">
        <f t="shared" si="2"/>
        <v>2917.64</v>
      </c>
      <c r="F33" s="165">
        <v>2917.64</v>
      </c>
      <c r="G33" s="165"/>
      <c r="H33" s="158">
        <f t="shared" si="5"/>
        <v>3100</v>
      </c>
      <c r="I33" s="165">
        <v>3100</v>
      </c>
      <c r="J33" s="165"/>
      <c r="K33" s="158">
        <f t="shared" si="0"/>
        <v>4000</v>
      </c>
      <c r="L33" s="165">
        <v>4000</v>
      </c>
      <c r="M33" s="165"/>
      <c r="N33" s="158">
        <f t="shared" si="1"/>
        <v>900</v>
      </c>
      <c r="O33" s="158">
        <f t="shared" si="1"/>
        <v>900</v>
      </c>
      <c r="P33" s="158">
        <f t="shared" si="1"/>
        <v>0</v>
      </c>
      <c r="Q33" s="158">
        <f t="shared" si="3"/>
        <v>4000</v>
      </c>
      <c r="R33" s="165">
        <v>4000</v>
      </c>
      <c r="S33" s="165"/>
      <c r="T33" s="158">
        <f t="shared" si="4"/>
        <v>4000</v>
      </c>
      <c r="U33" s="165">
        <v>4000</v>
      </c>
      <c r="V33" s="165"/>
      <c r="W33" s="180"/>
      <c r="X33" s="166"/>
      <c r="Y33" s="166"/>
    </row>
    <row r="34" spans="1:25" s="167" customFormat="1" ht="52.5">
      <c r="A34" s="285" t="s">
        <v>51</v>
      </c>
      <c r="B34" s="146" t="s">
        <v>52</v>
      </c>
      <c r="C34" s="285" t="s">
        <v>10</v>
      </c>
      <c r="D34" s="294"/>
      <c r="E34" s="158">
        <f t="shared" si="2"/>
        <v>0</v>
      </c>
      <c r="F34" s="165">
        <v>0</v>
      </c>
      <c r="G34" s="165"/>
      <c r="H34" s="158">
        <f t="shared" si="5"/>
        <v>0</v>
      </c>
      <c r="I34" s="165"/>
      <c r="J34" s="165"/>
      <c r="K34" s="158">
        <f t="shared" si="0"/>
        <v>0</v>
      </c>
      <c r="L34" s="165">
        <v>0</v>
      </c>
      <c r="M34" s="165"/>
      <c r="N34" s="158">
        <f t="shared" si="1"/>
        <v>0</v>
      </c>
      <c r="O34" s="158">
        <f t="shared" si="1"/>
        <v>0</v>
      </c>
      <c r="P34" s="158">
        <f t="shared" si="1"/>
        <v>0</v>
      </c>
      <c r="Q34" s="158">
        <f t="shared" si="3"/>
        <v>0</v>
      </c>
      <c r="R34" s="165">
        <v>0</v>
      </c>
      <c r="S34" s="165"/>
      <c r="T34" s="158">
        <f t="shared" si="4"/>
        <v>0</v>
      </c>
      <c r="U34" s="165">
        <v>0</v>
      </c>
      <c r="V34" s="165"/>
      <c r="W34" s="180"/>
      <c r="X34" s="166"/>
      <c r="Y34" s="166"/>
    </row>
    <row r="35" spans="1:25" s="167" customFormat="1" ht="94.5">
      <c r="A35" s="285" t="s">
        <v>53</v>
      </c>
      <c r="B35" s="146" t="s">
        <v>54</v>
      </c>
      <c r="C35" s="285" t="s">
        <v>10</v>
      </c>
      <c r="D35" s="294"/>
      <c r="E35" s="158">
        <f t="shared" si="2"/>
        <v>13549.8</v>
      </c>
      <c r="F35" s="165">
        <v>13549.8</v>
      </c>
      <c r="G35" s="165"/>
      <c r="H35" s="158">
        <f t="shared" si="5"/>
        <v>15000</v>
      </c>
      <c r="I35" s="165">
        <v>15000</v>
      </c>
      <c r="J35" s="165"/>
      <c r="K35" s="158">
        <f t="shared" si="0"/>
        <v>27825</v>
      </c>
      <c r="L35" s="165">
        <v>27825</v>
      </c>
      <c r="M35" s="165"/>
      <c r="N35" s="158">
        <f t="shared" si="1"/>
        <v>12825</v>
      </c>
      <c r="O35" s="158">
        <f t="shared" si="1"/>
        <v>12825</v>
      </c>
      <c r="P35" s="158">
        <f t="shared" si="1"/>
        <v>0</v>
      </c>
      <c r="Q35" s="158">
        <f t="shared" si="3"/>
        <v>27825</v>
      </c>
      <c r="R35" s="165">
        <v>27825</v>
      </c>
      <c r="S35" s="165"/>
      <c r="T35" s="158">
        <f t="shared" si="4"/>
        <v>27825</v>
      </c>
      <c r="U35" s="165">
        <v>27825</v>
      </c>
      <c r="V35" s="165"/>
      <c r="W35" s="180"/>
      <c r="X35" s="166"/>
      <c r="Y35" s="166"/>
    </row>
    <row r="36" spans="1:25" s="167" customFormat="1" ht="105">
      <c r="A36" s="285" t="s">
        <v>55</v>
      </c>
      <c r="B36" s="146" t="s">
        <v>56</v>
      </c>
      <c r="C36" s="285" t="s">
        <v>10</v>
      </c>
      <c r="D36" s="294"/>
      <c r="E36" s="158">
        <f t="shared" si="2"/>
        <v>425</v>
      </c>
      <c r="F36" s="165">
        <v>425</v>
      </c>
      <c r="G36" s="165"/>
      <c r="H36" s="158">
        <f t="shared" si="5"/>
        <v>400</v>
      </c>
      <c r="I36" s="165">
        <v>400</v>
      </c>
      <c r="J36" s="165"/>
      <c r="K36" s="158">
        <f t="shared" si="0"/>
        <v>600</v>
      </c>
      <c r="L36" s="165">
        <v>600</v>
      </c>
      <c r="M36" s="165"/>
      <c r="N36" s="158">
        <f t="shared" si="1"/>
        <v>200</v>
      </c>
      <c r="O36" s="158">
        <f t="shared" si="1"/>
        <v>200</v>
      </c>
      <c r="P36" s="158">
        <f t="shared" si="1"/>
        <v>0</v>
      </c>
      <c r="Q36" s="158">
        <f t="shared" si="3"/>
        <v>600</v>
      </c>
      <c r="R36" s="165">
        <v>600</v>
      </c>
      <c r="S36" s="165"/>
      <c r="T36" s="158">
        <f t="shared" si="4"/>
        <v>600</v>
      </c>
      <c r="U36" s="165">
        <v>600</v>
      </c>
      <c r="V36" s="165"/>
      <c r="W36" s="180"/>
      <c r="X36" s="166"/>
      <c r="Y36" s="166"/>
    </row>
    <row r="37" spans="1:25" s="167" customFormat="1" ht="63">
      <c r="A37" s="285" t="s">
        <v>57</v>
      </c>
      <c r="B37" s="146" t="s">
        <v>58</v>
      </c>
      <c r="C37" s="285" t="s">
        <v>10</v>
      </c>
      <c r="D37" s="294"/>
      <c r="E37" s="158">
        <f t="shared" si="2"/>
        <v>471</v>
      </c>
      <c r="F37" s="165">
        <v>471</v>
      </c>
      <c r="G37" s="165"/>
      <c r="H37" s="158">
        <f t="shared" si="5"/>
        <v>500</v>
      </c>
      <c r="I37" s="165">
        <v>500</v>
      </c>
      <c r="J37" s="165"/>
      <c r="K37" s="158">
        <f t="shared" si="0"/>
        <v>150</v>
      </c>
      <c r="L37" s="165">
        <v>150</v>
      </c>
      <c r="M37" s="165"/>
      <c r="N37" s="158">
        <f t="shared" si="1"/>
        <v>-350</v>
      </c>
      <c r="O37" s="158">
        <f t="shared" si="1"/>
        <v>-350</v>
      </c>
      <c r="P37" s="158">
        <f t="shared" si="1"/>
        <v>0</v>
      </c>
      <c r="Q37" s="158">
        <f t="shared" si="3"/>
        <v>150</v>
      </c>
      <c r="R37" s="165">
        <v>150</v>
      </c>
      <c r="S37" s="165"/>
      <c r="T37" s="158">
        <f t="shared" si="4"/>
        <v>150</v>
      </c>
      <c r="U37" s="165">
        <v>150</v>
      </c>
      <c r="V37" s="165"/>
      <c r="W37" s="180"/>
      <c r="X37" s="166"/>
      <c r="Y37" s="166"/>
    </row>
    <row r="38" spans="1:25" s="167" customFormat="1" ht="63">
      <c r="A38" s="285" t="s">
        <v>59</v>
      </c>
      <c r="B38" s="146" t="s">
        <v>60</v>
      </c>
      <c r="C38" s="285" t="s">
        <v>10</v>
      </c>
      <c r="D38" s="294"/>
      <c r="E38" s="158">
        <f t="shared" si="2"/>
        <v>375</v>
      </c>
      <c r="F38" s="165">
        <v>375</v>
      </c>
      <c r="G38" s="165"/>
      <c r="H38" s="158">
        <f t="shared" si="5"/>
        <v>2500</v>
      </c>
      <c r="I38" s="165">
        <v>2500</v>
      </c>
      <c r="J38" s="165"/>
      <c r="K38" s="158">
        <f t="shared" si="0"/>
        <v>2500</v>
      </c>
      <c r="L38" s="165">
        <v>2500</v>
      </c>
      <c r="M38" s="165"/>
      <c r="N38" s="158">
        <f t="shared" si="1"/>
        <v>0</v>
      </c>
      <c r="O38" s="158">
        <f t="shared" si="1"/>
        <v>0</v>
      </c>
      <c r="P38" s="158">
        <f t="shared" si="1"/>
        <v>0</v>
      </c>
      <c r="Q38" s="158">
        <f t="shared" si="3"/>
        <v>2500</v>
      </c>
      <c r="R38" s="165">
        <v>2500</v>
      </c>
      <c r="S38" s="165"/>
      <c r="T38" s="158">
        <f t="shared" si="4"/>
        <v>2500</v>
      </c>
      <c r="U38" s="165">
        <v>2500</v>
      </c>
      <c r="V38" s="165"/>
      <c r="W38" s="180"/>
      <c r="X38" s="166"/>
      <c r="Y38" s="166"/>
    </row>
    <row r="39" spans="1:25" s="167" customFormat="1" ht="52.5">
      <c r="A39" s="285" t="s">
        <v>61</v>
      </c>
      <c r="B39" s="146" t="s">
        <v>62</v>
      </c>
      <c r="C39" s="285" t="s">
        <v>10</v>
      </c>
      <c r="D39" s="295"/>
      <c r="E39" s="158">
        <f t="shared" si="2"/>
        <v>0</v>
      </c>
      <c r="F39" s="165">
        <v>0</v>
      </c>
      <c r="G39" s="165"/>
      <c r="H39" s="158">
        <f t="shared" si="5"/>
        <v>0</v>
      </c>
      <c r="I39" s="165"/>
      <c r="J39" s="165"/>
      <c r="K39" s="158">
        <f t="shared" si="0"/>
        <v>0</v>
      </c>
      <c r="L39" s="165">
        <v>0</v>
      </c>
      <c r="M39" s="165"/>
      <c r="N39" s="158">
        <f t="shared" si="1"/>
        <v>0</v>
      </c>
      <c r="O39" s="158">
        <f t="shared" si="1"/>
        <v>0</v>
      </c>
      <c r="P39" s="158">
        <f t="shared" si="1"/>
        <v>0</v>
      </c>
      <c r="Q39" s="158">
        <f t="shared" si="3"/>
        <v>0</v>
      </c>
      <c r="R39" s="165">
        <v>0</v>
      </c>
      <c r="S39" s="165"/>
      <c r="T39" s="158">
        <f t="shared" si="4"/>
        <v>0</v>
      </c>
      <c r="U39" s="165">
        <v>0</v>
      </c>
      <c r="V39" s="165"/>
      <c r="W39" s="180"/>
      <c r="X39" s="166"/>
      <c r="Y39" s="166"/>
    </row>
    <row r="40" spans="1:25" s="167" customFormat="1" ht="52.5">
      <c r="A40" s="285" t="s">
        <v>63</v>
      </c>
      <c r="B40" s="146" t="s">
        <v>64</v>
      </c>
      <c r="C40" s="285" t="s">
        <v>10</v>
      </c>
      <c r="D40" s="293"/>
      <c r="E40" s="158">
        <f t="shared" si="2"/>
        <v>65</v>
      </c>
      <c r="F40" s="165">
        <v>65</v>
      </c>
      <c r="G40" s="165"/>
      <c r="H40" s="158">
        <f t="shared" si="5"/>
        <v>100</v>
      </c>
      <c r="I40" s="165">
        <v>100</v>
      </c>
      <c r="J40" s="165"/>
      <c r="K40" s="158">
        <f t="shared" si="0"/>
        <v>100</v>
      </c>
      <c r="L40" s="165">
        <v>100</v>
      </c>
      <c r="M40" s="165"/>
      <c r="N40" s="158">
        <f t="shared" si="1"/>
        <v>0</v>
      </c>
      <c r="O40" s="158">
        <f t="shared" si="1"/>
        <v>0</v>
      </c>
      <c r="P40" s="158">
        <f t="shared" si="1"/>
        <v>0</v>
      </c>
      <c r="Q40" s="158">
        <f t="shared" si="3"/>
        <v>100</v>
      </c>
      <c r="R40" s="165">
        <v>100</v>
      </c>
      <c r="S40" s="165"/>
      <c r="T40" s="158">
        <f t="shared" si="4"/>
        <v>100</v>
      </c>
      <c r="U40" s="165">
        <v>100</v>
      </c>
      <c r="V40" s="165"/>
      <c r="W40" s="180"/>
      <c r="X40" s="166"/>
      <c r="Y40" s="166"/>
    </row>
    <row r="41" spans="1:25" s="167" customFormat="1" ht="21">
      <c r="A41" s="285" t="s">
        <v>65</v>
      </c>
      <c r="B41" s="146" t="s">
        <v>66</v>
      </c>
      <c r="C41" s="285" t="s">
        <v>10</v>
      </c>
      <c r="D41" s="291"/>
      <c r="E41" s="158">
        <f t="shared" si="2"/>
        <v>2127.3</v>
      </c>
      <c r="F41" s="165">
        <v>2127.3</v>
      </c>
      <c r="G41" s="165"/>
      <c r="H41" s="158">
        <f t="shared" si="5"/>
        <v>0</v>
      </c>
      <c r="I41" s="165"/>
      <c r="J41" s="165"/>
      <c r="K41" s="158">
        <f t="shared" si="0"/>
        <v>0</v>
      </c>
      <c r="L41" s="165"/>
      <c r="M41" s="165"/>
      <c r="N41" s="158">
        <f t="shared" si="1"/>
        <v>0</v>
      </c>
      <c r="O41" s="158">
        <f t="shared" si="1"/>
        <v>0</v>
      </c>
      <c r="P41" s="158">
        <f t="shared" si="1"/>
        <v>0</v>
      </c>
      <c r="Q41" s="158">
        <f t="shared" si="3"/>
        <v>0</v>
      </c>
      <c r="R41" s="165"/>
      <c r="S41" s="165"/>
      <c r="T41" s="158">
        <f t="shared" si="4"/>
        <v>0</v>
      </c>
      <c r="U41" s="165"/>
      <c r="V41" s="165"/>
      <c r="W41" s="180"/>
      <c r="X41" s="166"/>
      <c r="Y41" s="166"/>
    </row>
    <row r="42" spans="1:25" s="160" customFormat="1" ht="31.5">
      <c r="A42" s="284" t="s">
        <v>67</v>
      </c>
      <c r="B42" s="145" t="s">
        <v>68</v>
      </c>
      <c r="C42" s="284" t="s">
        <v>69</v>
      </c>
      <c r="D42" s="284"/>
      <c r="E42" s="158">
        <f t="shared" si="2"/>
        <v>50469.9</v>
      </c>
      <c r="F42" s="158">
        <f>+F44+F45</f>
        <v>50469.9</v>
      </c>
      <c r="G42" s="158">
        <f>+G44+G45</f>
        <v>0</v>
      </c>
      <c r="H42" s="158">
        <f t="shared" si="5"/>
        <v>51000</v>
      </c>
      <c r="I42" s="158">
        <f>+I44+I45</f>
        <v>51000</v>
      </c>
      <c r="J42" s="158">
        <f>+J44+J45</f>
        <v>0</v>
      </c>
      <c r="K42" s="158">
        <f t="shared" si="0"/>
        <v>53000</v>
      </c>
      <c r="L42" s="158">
        <f>+L44+L45</f>
        <v>53000</v>
      </c>
      <c r="M42" s="158">
        <f>+M44+M45</f>
        <v>0</v>
      </c>
      <c r="N42" s="158">
        <f aca="true" t="shared" si="6" ref="N42:P73">+K42-H42</f>
        <v>2000</v>
      </c>
      <c r="O42" s="158">
        <f t="shared" si="6"/>
        <v>2000</v>
      </c>
      <c r="P42" s="158">
        <f t="shared" si="6"/>
        <v>0</v>
      </c>
      <c r="Q42" s="158">
        <f t="shared" si="3"/>
        <v>53000</v>
      </c>
      <c r="R42" s="158">
        <f>+R44+R45</f>
        <v>53000</v>
      </c>
      <c r="S42" s="158">
        <f>+S44+S45</f>
        <v>0</v>
      </c>
      <c r="T42" s="158">
        <f t="shared" si="4"/>
        <v>53000</v>
      </c>
      <c r="U42" s="158">
        <f>+U44+U45</f>
        <v>53000</v>
      </c>
      <c r="V42" s="158">
        <f>+V44+V45</f>
        <v>0</v>
      </c>
      <c r="W42" s="194" t="s">
        <v>743</v>
      </c>
      <c r="X42" s="159"/>
      <c r="Y42" s="159"/>
    </row>
    <row r="43" spans="1:25" s="167" customFormat="1" ht="10.5">
      <c r="A43" s="285"/>
      <c r="B43" s="146" t="s">
        <v>5</v>
      </c>
      <c r="C43" s="285"/>
      <c r="D43" s="285"/>
      <c r="E43" s="158">
        <f t="shared" si="2"/>
        <v>0</v>
      </c>
      <c r="F43" s="165"/>
      <c r="G43" s="165"/>
      <c r="H43" s="158">
        <f t="shared" si="5"/>
        <v>0</v>
      </c>
      <c r="I43" s="165"/>
      <c r="J43" s="165"/>
      <c r="K43" s="158">
        <f t="shared" si="0"/>
        <v>0</v>
      </c>
      <c r="L43" s="165"/>
      <c r="M43" s="165"/>
      <c r="N43" s="158">
        <f t="shared" si="6"/>
        <v>0</v>
      </c>
      <c r="O43" s="158">
        <f t="shared" si="6"/>
        <v>0</v>
      </c>
      <c r="P43" s="158">
        <f t="shared" si="6"/>
        <v>0</v>
      </c>
      <c r="Q43" s="158">
        <f t="shared" si="3"/>
        <v>0</v>
      </c>
      <c r="R43" s="165"/>
      <c r="S43" s="165"/>
      <c r="T43" s="158">
        <f t="shared" si="4"/>
        <v>0</v>
      </c>
      <c r="U43" s="165"/>
      <c r="V43" s="165"/>
      <c r="W43" s="195"/>
      <c r="X43" s="166"/>
      <c r="Y43" s="166"/>
    </row>
    <row r="44" spans="1:25" s="160" customFormat="1" ht="144" customHeight="1">
      <c r="A44" s="287" t="s">
        <v>70</v>
      </c>
      <c r="B44" s="148" t="s">
        <v>71</v>
      </c>
      <c r="C44" s="287" t="s">
        <v>10</v>
      </c>
      <c r="D44" s="297" t="s">
        <v>751</v>
      </c>
      <c r="E44" s="158">
        <f t="shared" si="2"/>
        <v>11885.4</v>
      </c>
      <c r="F44" s="165">
        <v>11885.4</v>
      </c>
      <c r="G44" s="165"/>
      <c r="H44" s="158">
        <f t="shared" si="5"/>
        <v>12000</v>
      </c>
      <c r="I44" s="165">
        <v>12000</v>
      </c>
      <c r="J44" s="165"/>
      <c r="K44" s="158">
        <f t="shared" si="0"/>
        <v>12000</v>
      </c>
      <c r="L44" s="165">
        <v>12000</v>
      </c>
      <c r="M44" s="165"/>
      <c r="N44" s="158">
        <f t="shared" si="6"/>
        <v>0</v>
      </c>
      <c r="O44" s="158">
        <f t="shared" si="6"/>
        <v>0</v>
      </c>
      <c r="P44" s="158">
        <f t="shared" si="6"/>
        <v>0</v>
      </c>
      <c r="Q44" s="158">
        <f t="shared" si="3"/>
        <v>12000</v>
      </c>
      <c r="R44" s="165">
        <v>12000</v>
      </c>
      <c r="S44" s="165"/>
      <c r="T44" s="158">
        <f t="shared" si="4"/>
        <v>12000</v>
      </c>
      <c r="U44" s="165">
        <v>12000</v>
      </c>
      <c r="V44" s="165"/>
      <c r="W44" s="196"/>
      <c r="X44" s="159"/>
      <c r="Y44" s="159"/>
    </row>
    <row r="45" spans="1:25" s="160" customFormat="1" ht="105">
      <c r="A45" s="287" t="s">
        <v>72</v>
      </c>
      <c r="B45" s="148" t="s">
        <v>73</v>
      </c>
      <c r="C45" s="287" t="s">
        <v>10</v>
      </c>
      <c r="D45" s="296" t="s">
        <v>752</v>
      </c>
      <c r="E45" s="158">
        <f t="shared" si="2"/>
        <v>38584.5</v>
      </c>
      <c r="F45" s="165">
        <v>38584.5</v>
      </c>
      <c r="G45" s="165"/>
      <c r="H45" s="158">
        <f t="shared" si="5"/>
        <v>39000</v>
      </c>
      <c r="I45" s="165">
        <v>39000</v>
      </c>
      <c r="J45" s="165"/>
      <c r="K45" s="158">
        <f t="shared" si="0"/>
        <v>41000</v>
      </c>
      <c r="L45" s="165">
        <v>41000</v>
      </c>
      <c r="M45" s="165"/>
      <c r="N45" s="158">
        <f t="shared" si="6"/>
        <v>2000</v>
      </c>
      <c r="O45" s="158">
        <f t="shared" si="6"/>
        <v>2000</v>
      </c>
      <c r="P45" s="158">
        <f t="shared" si="6"/>
        <v>0</v>
      </c>
      <c r="Q45" s="158">
        <f t="shared" si="3"/>
        <v>41000</v>
      </c>
      <c r="R45" s="165">
        <v>41000</v>
      </c>
      <c r="S45" s="165"/>
      <c r="T45" s="158">
        <f t="shared" si="4"/>
        <v>41000</v>
      </c>
      <c r="U45" s="165">
        <v>41000</v>
      </c>
      <c r="V45" s="165"/>
      <c r="W45" s="180"/>
      <c r="X45" s="159"/>
      <c r="Y45" s="159"/>
    </row>
    <row r="46" spans="1:25" s="160" customFormat="1" ht="63">
      <c r="A46" s="284" t="s">
        <v>74</v>
      </c>
      <c r="B46" s="145" t="s">
        <v>75</v>
      </c>
      <c r="C46" s="284" t="s">
        <v>76</v>
      </c>
      <c r="D46" s="284"/>
      <c r="E46" s="158">
        <f t="shared" si="2"/>
        <v>2066162.921</v>
      </c>
      <c r="F46" s="158">
        <f>+F48+F51+F54+F60</f>
        <v>1551174</v>
      </c>
      <c r="G46" s="158">
        <f>+G48+G51+G54+G60</f>
        <v>514988.921</v>
      </c>
      <c r="H46" s="158">
        <f t="shared" si="5"/>
        <v>1582135.5</v>
      </c>
      <c r="I46" s="158">
        <f>+I48+I51+I54+I60</f>
        <v>1582135.5</v>
      </c>
      <c r="J46" s="158">
        <f>+J48+J51+J54+J60</f>
        <v>0</v>
      </c>
      <c r="K46" s="158">
        <f t="shared" si="0"/>
        <v>2074921.6</v>
      </c>
      <c r="L46" s="158">
        <f>+L48+L51+L54+L60</f>
        <v>1574921.6</v>
      </c>
      <c r="M46" s="158">
        <f>+M48+M51+M54+M60</f>
        <v>500000</v>
      </c>
      <c r="N46" s="158">
        <f t="shared" si="6"/>
        <v>492786.1000000001</v>
      </c>
      <c r="O46" s="158">
        <f t="shared" si="6"/>
        <v>-7213.899999999907</v>
      </c>
      <c r="P46" s="158">
        <f t="shared" si="6"/>
        <v>500000</v>
      </c>
      <c r="Q46" s="158">
        <f t="shared" si="3"/>
        <v>1918109.2</v>
      </c>
      <c r="R46" s="158">
        <f>+R48+R51+R54+R60</f>
        <v>1418109.2</v>
      </c>
      <c r="S46" s="158">
        <f>+S48+S51+S54+S60</f>
        <v>500000</v>
      </c>
      <c r="T46" s="158">
        <f t="shared" si="4"/>
        <v>1776978.1</v>
      </c>
      <c r="U46" s="158">
        <f>+U48+U51+U54+U60</f>
        <v>1276978.1</v>
      </c>
      <c r="V46" s="158">
        <f>+V48+V51+V54+V60</f>
        <v>500000</v>
      </c>
      <c r="W46" s="181"/>
      <c r="X46" s="159"/>
      <c r="Y46" s="159"/>
    </row>
    <row r="47" spans="1:25" s="167" customFormat="1" ht="12.75">
      <c r="A47" s="285"/>
      <c r="B47" s="146" t="s">
        <v>5</v>
      </c>
      <c r="C47" s="285"/>
      <c r="D47" s="285"/>
      <c r="E47" s="158">
        <f t="shared" si="2"/>
        <v>0</v>
      </c>
      <c r="F47" s="165"/>
      <c r="G47" s="165"/>
      <c r="H47" s="158">
        <f t="shared" si="5"/>
        <v>0</v>
      </c>
      <c r="I47" s="165"/>
      <c r="J47" s="165"/>
      <c r="K47" s="158">
        <f t="shared" si="0"/>
        <v>0</v>
      </c>
      <c r="L47" s="165"/>
      <c r="M47" s="165"/>
      <c r="N47" s="158">
        <f t="shared" si="6"/>
        <v>0</v>
      </c>
      <c r="O47" s="158">
        <f t="shared" si="6"/>
        <v>0</v>
      </c>
      <c r="P47" s="158">
        <f t="shared" si="6"/>
        <v>0</v>
      </c>
      <c r="Q47" s="158">
        <f t="shared" si="3"/>
        <v>0</v>
      </c>
      <c r="R47" s="165"/>
      <c r="S47" s="165"/>
      <c r="T47" s="158">
        <f t="shared" si="4"/>
        <v>0</v>
      </c>
      <c r="U47" s="165"/>
      <c r="V47" s="165"/>
      <c r="W47" s="180"/>
      <c r="X47" s="166"/>
      <c r="Y47" s="166"/>
    </row>
    <row r="48" spans="1:25" s="160" customFormat="1" ht="52.5">
      <c r="A48" s="284" t="s">
        <v>77</v>
      </c>
      <c r="B48" s="145" t="s">
        <v>78</v>
      </c>
      <c r="C48" s="284" t="s">
        <v>79</v>
      </c>
      <c r="D48" s="284"/>
      <c r="E48" s="158">
        <f t="shared" si="2"/>
        <v>0</v>
      </c>
      <c r="F48" s="158">
        <f>+F50</f>
        <v>0</v>
      </c>
      <c r="G48" s="158">
        <f>+G50</f>
        <v>0</v>
      </c>
      <c r="H48" s="158">
        <f t="shared" si="5"/>
        <v>0</v>
      </c>
      <c r="I48" s="158">
        <f>+I50</f>
        <v>0</v>
      </c>
      <c r="J48" s="158">
        <f>+J50</f>
        <v>0</v>
      </c>
      <c r="K48" s="158">
        <f t="shared" si="0"/>
        <v>0</v>
      </c>
      <c r="L48" s="158">
        <f>+L50</f>
        <v>0</v>
      </c>
      <c r="M48" s="158">
        <f>+M50</f>
        <v>0</v>
      </c>
      <c r="N48" s="158">
        <f t="shared" si="6"/>
        <v>0</v>
      </c>
      <c r="O48" s="158">
        <f t="shared" si="6"/>
        <v>0</v>
      </c>
      <c r="P48" s="158">
        <f t="shared" si="6"/>
        <v>0</v>
      </c>
      <c r="Q48" s="158">
        <f t="shared" si="3"/>
        <v>0</v>
      </c>
      <c r="R48" s="158">
        <f>+R50</f>
        <v>0</v>
      </c>
      <c r="S48" s="158">
        <f>+S50</f>
        <v>0</v>
      </c>
      <c r="T48" s="158">
        <f t="shared" si="4"/>
        <v>0</v>
      </c>
      <c r="U48" s="158">
        <f>+U50</f>
        <v>0</v>
      </c>
      <c r="V48" s="158">
        <f>+V50</f>
        <v>0</v>
      </c>
      <c r="W48" s="180"/>
      <c r="X48" s="159"/>
      <c r="Y48" s="159"/>
    </row>
    <row r="49" spans="1:25" s="167" customFormat="1" ht="12.75">
      <c r="A49" s="285"/>
      <c r="B49" s="146" t="s">
        <v>5</v>
      </c>
      <c r="C49" s="285"/>
      <c r="D49" s="285"/>
      <c r="E49" s="158">
        <f t="shared" si="2"/>
        <v>0</v>
      </c>
      <c r="F49" s="165"/>
      <c r="G49" s="165"/>
      <c r="H49" s="158">
        <f t="shared" si="5"/>
        <v>0</v>
      </c>
      <c r="I49" s="165"/>
      <c r="J49" s="165"/>
      <c r="K49" s="158">
        <f t="shared" si="0"/>
        <v>0</v>
      </c>
      <c r="L49" s="165"/>
      <c r="M49" s="165"/>
      <c r="N49" s="158">
        <f t="shared" si="6"/>
        <v>0</v>
      </c>
      <c r="O49" s="158">
        <f t="shared" si="6"/>
        <v>0</v>
      </c>
      <c r="P49" s="158">
        <f t="shared" si="6"/>
        <v>0</v>
      </c>
      <c r="Q49" s="158">
        <f t="shared" si="3"/>
        <v>0</v>
      </c>
      <c r="R49" s="165"/>
      <c r="S49" s="165"/>
      <c r="T49" s="158">
        <f t="shared" si="4"/>
        <v>0</v>
      </c>
      <c r="U49" s="165"/>
      <c r="V49" s="165"/>
      <c r="W49" s="180"/>
      <c r="X49" s="166"/>
      <c r="Y49" s="166"/>
    </row>
    <row r="50" spans="1:25" s="160" customFormat="1" ht="73.5">
      <c r="A50" s="287" t="s">
        <v>80</v>
      </c>
      <c r="B50" s="148" t="s">
        <v>81</v>
      </c>
      <c r="C50" s="287"/>
      <c r="D50" s="287"/>
      <c r="E50" s="158">
        <f t="shared" si="2"/>
        <v>0</v>
      </c>
      <c r="F50" s="165"/>
      <c r="G50" s="165"/>
      <c r="H50" s="158">
        <f t="shared" si="5"/>
        <v>0</v>
      </c>
      <c r="I50" s="165"/>
      <c r="J50" s="165"/>
      <c r="K50" s="158">
        <f t="shared" si="0"/>
        <v>0</v>
      </c>
      <c r="L50" s="165"/>
      <c r="M50" s="165"/>
      <c r="N50" s="158">
        <f t="shared" si="6"/>
        <v>0</v>
      </c>
      <c r="O50" s="158">
        <f t="shared" si="6"/>
        <v>0</v>
      </c>
      <c r="P50" s="158">
        <f t="shared" si="6"/>
        <v>0</v>
      </c>
      <c r="Q50" s="158">
        <f t="shared" si="3"/>
        <v>0</v>
      </c>
      <c r="R50" s="165"/>
      <c r="S50" s="165"/>
      <c r="T50" s="158">
        <f t="shared" si="4"/>
        <v>0</v>
      </c>
      <c r="U50" s="165"/>
      <c r="V50" s="165"/>
      <c r="W50" s="180"/>
      <c r="X50" s="159"/>
      <c r="Y50" s="159"/>
    </row>
    <row r="51" spans="1:25" s="160" customFormat="1" ht="52.5">
      <c r="A51" s="284" t="s">
        <v>82</v>
      </c>
      <c r="B51" s="145" t="s">
        <v>83</v>
      </c>
      <c r="C51" s="284" t="s">
        <v>84</v>
      </c>
      <c r="D51" s="284"/>
      <c r="E51" s="158">
        <f t="shared" si="2"/>
        <v>0</v>
      </c>
      <c r="F51" s="158">
        <f>+F53</f>
        <v>0</v>
      </c>
      <c r="G51" s="158">
        <f>+G53</f>
        <v>0</v>
      </c>
      <c r="H51" s="158">
        <f t="shared" si="5"/>
        <v>0</v>
      </c>
      <c r="I51" s="158">
        <f>+I53</f>
        <v>0</v>
      </c>
      <c r="J51" s="158">
        <f>+J53</f>
        <v>0</v>
      </c>
      <c r="K51" s="158">
        <f t="shared" si="0"/>
        <v>0</v>
      </c>
      <c r="L51" s="158">
        <f>+L53</f>
        <v>0</v>
      </c>
      <c r="M51" s="158">
        <f>+M53</f>
        <v>0</v>
      </c>
      <c r="N51" s="158">
        <f t="shared" si="6"/>
        <v>0</v>
      </c>
      <c r="O51" s="158">
        <f t="shared" si="6"/>
        <v>0</v>
      </c>
      <c r="P51" s="158">
        <f t="shared" si="6"/>
        <v>0</v>
      </c>
      <c r="Q51" s="158">
        <f t="shared" si="3"/>
        <v>0</v>
      </c>
      <c r="R51" s="158">
        <f>+R53</f>
        <v>0</v>
      </c>
      <c r="S51" s="158">
        <f>+S53</f>
        <v>0</v>
      </c>
      <c r="T51" s="158">
        <f t="shared" si="4"/>
        <v>0</v>
      </c>
      <c r="U51" s="158">
        <f>+U53</f>
        <v>0</v>
      </c>
      <c r="V51" s="158">
        <f>+V53</f>
        <v>0</v>
      </c>
      <c r="W51" s="180"/>
      <c r="X51" s="159"/>
      <c r="Y51" s="159"/>
    </row>
    <row r="52" spans="1:25" s="167" customFormat="1" ht="12.75">
      <c r="A52" s="285"/>
      <c r="B52" s="146" t="s">
        <v>5</v>
      </c>
      <c r="C52" s="285"/>
      <c r="D52" s="285"/>
      <c r="E52" s="158">
        <f t="shared" si="2"/>
        <v>0</v>
      </c>
      <c r="F52" s="165"/>
      <c r="G52" s="165"/>
      <c r="H52" s="158">
        <f t="shared" si="5"/>
        <v>0</v>
      </c>
      <c r="I52" s="165"/>
      <c r="J52" s="165"/>
      <c r="K52" s="158">
        <f t="shared" si="0"/>
        <v>0</v>
      </c>
      <c r="L52" s="165"/>
      <c r="M52" s="165"/>
      <c r="N52" s="158">
        <f t="shared" si="6"/>
        <v>0</v>
      </c>
      <c r="O52" s="158">
        <f t="shared" si="6"/>
        <v>0</v>
      </c>
      <c r="P52" s="158">
        <f t="shared" si="6"/>
        <v>0</v>
      </c>
      <c r="Q52" s="158">
        <f t="shared" si="3"/>
        <v>0</v>
      </c>
      <c r="R52" s="165"/>
      <c r="S52" s="165"/>
      <c r="T52" s="158">
        <f t="shared" si="4"/>
        <v>0</v>
      </c>
      <c r="U52" s="165"/>
      <c r="V52" s="165"/>
      <c r="W52" s="180"/>
      <c r="X52" s="166"/>
      <c r="Y52" s="166"/>
    </row>
    <row r="53" spans="1:25" s="160" customFormat="1" ht="73.5">
      <c r="A53" s="287" t="s">
        <v>85</v>
      </c>
      <c r="B53" s="148" t="s">
        <v>86</v>
      </c>
      <c r="C53" s="287" t="s">
        <v>10</v>
      </c>
      <c r="D53" s="287"/>
      <c r="E53" s="158">
        <f t="shared" si="2"/>
        <v>0</v>
      </c>
      <c r="F53" s="165"/>
      <c r="G53" s="165"/>
      <c r="H53" s="158">
        <f t="shared" si="5"/>
        <v>0</v>
      </c>
      <c r="I53" s="165"/>
      <c r="J53" s="165"/>
      <c r="K53" s="158">
        <f t="shared" si="0"/>
        <v>0</v>
      </c>
      <c r="L53" s="165"/>
      <c r="M53" s="165"/>
      <c r="N53" s="158">
        <f t="shared" si="6"/>
        <v>0</v>
      </c>
      <c r="O53" s="158">
        <f t="shared" si="6"/>
        <v>0</v>
      </c>
      <c r="P53" s="158">
        <f t="shared" si="6"/>
        <v>0</v>
      </c>
      <c r="Q53" s="158">
        <f t="shared" si="3"/>
        <v>0</v>
      </c>
      <c r="R53" s="165"/>
      <c r="S53" s="165"/>
      <c r="T53" s="158">
        <f t="shared" si="4"/>
        <v>0</v>
      </c>
      <c r="U53" s="165"/>
      <c r="V53" s="165"/>
      <c r="W53" s="180"/>
      <c r="X53" s="159"/>
      <c r="Y53" s="159"/>
    </row>
    <row r="54" spans="1:25" s="160" customFormat="1" ht="84">
      <c r="A54" s="284" t="s">
        <v>87</v>
      </c>
      <c r="B54" s="145" t="s">
        <v>88</v>
      </c>
      <c r="C54" s="284" t="s">
        <v>89</v>
      </c>
      <c r="D54" s="284"/>
      <c r="E54" s="158">
        <f t="shared" si="2"/>
        <v>1551174</v>
      </c>
      <c r="F54" s="158">
        <f>+F56+F57+F59</f>
        <v>1551174</v>
      </c>
      <c r="G54" s="158">
        <f>+G56+G59</f>
        <v>0</v>
      </c>
      <c r="H54" s="158">
        <f t="shared" si="5"/>
        <v>1582135.5</v>
      </c>
      <c r="I54" s="158">
        <f>+I56+I59</f>
        <v>1582135.5</v>
      </c>
      <c r="J54" s="158">
        <f>+J56+J59</f>
        <v>0</v>
      </c>
      <c r="K54" s="158">
        <f t="shared" si="0"/>
        <v>2074921.6</v>
      </c>
      <c r="L54" s="158">
        <f>+L56+L59</f>
        <v>1574921.6</v>
      </c>
      <c r="M54" s="158">
        <f>+M56+M59</f>
        <v>500000</v>
      </c>
      <c r="N54" s="158">
        <f t="shared" si="6"/>
        <v>492786.1000000001</v>
      </c>
      <c r="O54" s="158">
        <f t="shared" si="6"/>
        <v>-7213.899999999907</v>
      </c>
      <c r="P54" s="158">
        <f t="shared" si="6"/>
        <v>500000</v>
      </c>
      <c r="Q54" s="158">
        <f t="shared" si="3"/>
        <v>1918109.2</v>
      </c>
      <c r="R54" s="158">
        <f>+R56+R59</f>
        <v>1418109.2</v>
      </c>
      <c r="S54" s="158">
        <f>+S56+S59</f>
        <v>500000</v>
      </c>
      <c r="T54" s="158">
        <f t="shared" si="4"/>
        <v>1776978.1</v>
      </c>
      <c r="U54" s="158">
        <f>+U56+U59</f>
        <v>1276978.1</v>
      </c>
      <c r="V54" s="158">
        <f>+V56+V59</f>
        <v>500000</v>
      </c>
      <c r="W54" s="180"/>
      <c r="X54" s="159"/>
      <c r="Y54" s="159"/>
    </row>
    <row r="55" spans="1:25" s="167" customFormat="1" ht="12.75">
      <c r="A55" s="285"/>
      <c r="B55" s="146" t="s">
        <v>5</v>
      </c>
      <c r="C55" s="285"/>
      <c r="D55" s="285"/>
      <c r="E55" s="158">
        <f t="shared" si="2"/>
        <v>0</v>
      </c>
      <c r="F55" s="165"/>
      <c r="G55" s="165"/>
      <c r="H55" s="158">
        <f t="shared" si="5"/>
        <v>0</v>
      </c>
      <c r="I55" s="165"/>
      <c r="J55" s="165"/>
      <c r="K55" s="158">
        <f t="shared" si="0"/>
        <v>0</v>
      </c>
      <c r="L55" s="165"/>
      <c r="M55" s="165"/>
      <c r="N55" s="158">
        <f t="shared" si="6"/>
        <v>0</v>
      </c>
      <c r="O55" s="158">
        <f t="shared" si="6"/>
        <v>0</v>
      </c>
      <c r="P55" s="158">
        <f t="shared" si="6"/>
        <v>0</v>
      </c>
      <c r="Q55" s="158">
        <f t="shared" si="3"/>
        <v>0</v>
      </c>
      <c r="R55" s="165"/>
      <c r="S55" s="165"/>
      <c r="T55" s="158">
        <f t="shared" si="4"/>
        <v>0</v>
      </c>
      <c r="U55" s="165"/>
      <c r="V55" s="165"/>
      <c r="W55" s="180"/>
      <c r="X55" s="166"/>
      <c r="Y55" s="166"/>
    </row>
    <row r="56" spans="1:25" s="167" customFormat="1" ht="229.5">
      <c r="A56" s="285" t="s">
        <v>90</v>
      </c>
      <c r="B56" s="146" t="s">
        <v>91</v>
      </c>
      <c r="C56" s="285" t="s">
        <v>10</v>
      </c>
      <c r="D56" s="285"/>
      <c r="E56" s="158">
        <f t="shared" si="2"/>
        <v>1544435.6</v>
      </c>
      <c r="F56" s="165">
        <v>1544435.6</v>
      </c>
      <c r="G56" s="165"/>
      <c r="H56" s="158">
        <f t="shared" si="5"/>
        <v>1575337.5</v>
      </c>
      <c r="I56" s="165">
        <v>1575337.5</v>
      </c>
      <c r="J56" s="165"/>
      <c r="K56" s="158">
        <f t="shared" si="0"/>
        <v>1568123.6</v>
      </c>
      <c r="L56" s="165">
        <v>1568123.6</v>
      </c>
      <c r="M56" s="165"/>
      <c r="N56" s="158">
        <f t="shared" si="6"/>
        <v>-7213.899999999907</v>
      </c>
      <c r="O56" s="158">
        <f t="shared" si="6"/>
        <v>-7213.899999999907</v>
      </c>
      <c r="P56" s="158">
        <f t="shared" si="6"/>
        <v>0</v>
      </c>
      <c r="Q56" s="158">
        <f t="shared" si="3"/>
        <v>1411311.2</v>
      </c>
      <c r="R56" s="165">
        <v>1411311.2</v>
      </c>
      <c r="S56" s="165"/>
      <c r="T56" s="158">
        <f t="shared" si="4"/>
        <v>1270180.1</v>
      </c>
      <c r="U56" s="165">
        <v>1270180.1</v>
      </c>
      <c r="V56" s="165"/>
      <c r="W56" s="180" t="s">
        <v>740</v>
      </c>
      <c r="X56" s="166"/>
      <c r="Y56" s="166"/>
    </row>
    <row r="57" spans="1:25" s="167" customFormat="1" ht="21">
      <c r="A57" s="285">
        <v>1252</v>
      </c>
      <c r="B57" s="146" t="s">
        <v>696</v>
      </c>
      <c r="C57" s="285"/>
      <c r="D57" s="285"/>
      <c r="E57" s="158">
        <f t="shared" si="2"/>
        <v>306</v>
      </c>
      <c r="F57" s="165">
        <f>+F58</f>
        <v>306</v>
      </c>
      <c r="G57" s="165">
        <f>+G58</f>
        <v>0</v>
      </c>
      <c r="H57" s="164">
        <f>+H58</f>
        <v>0</v>
      </c>
      <c r="I57" s="164">
        <f>+I58</f>
        <v>0</v>
      </c>
      <c r="J57" s="164">
        <f>+J58</f>
        <v>0</v>
      </c>
      <c r="K57" s="158">
        <f t="shared" si="0"/>
        <v>0</v>
      </c>
      <c r="L57" s="164">
        <f>+L58</f>
        <v>0</v>
      </c>
      <c r="M57" s="164">
        <f>+M58</f>
        <v>0</v>
      </c>
      <c r="N57" s="158">
        <f t="shared" si="6"/>
        <v>0</v>
      </c>
      <c r="O57" s="158">
        <f t="shared" si="6"/>
        <v>0</v>
      </c>
      <c r="P57" s="158">
        <f t="shared" si="6"/>
        <v>0</v>
      </c>
      <c r="Q57" s="158">
        <f t="shared" si="3"/>
        <v>0</v>
      </c>
      <c r="R57" s="164">
        <f>+R58</f>
        <v>0</v>
      </c>
      <c r="S57" s="164">
        <f>+S58</f>
        <v>0</v>
      </c>
      <c r="T57" s="158">
        <f t="shared" si="4"/>
        <v>0</v>
      </c>
      <c r="U57" s="164">
        <f>+U58</f>
        <v>0</v>
      </c>
      <c r="V57" s="164">
        <f>+V58</f>
        <v>0</v>
      </c>
      <c r="W57" s="180"/>
      <c r="X57" s="166"/>
      <c r="Y57" s="166"/>
    </row>
    <row r="58" spans="1:25" s="167" customFormat="1" ht="63">
      <c r="A58" s="285">
        <v>1253</v>
      </c>
      <c r="B58" s="146" t="s">
        <v>697</v>
      </c>
      <c r="C58" s="285"/>
      <c r="D58" s="285"/>
      <c r="E58" s="158">
        <f t="shared" si="2"/>
        <v>306</v>
      </c>
      <c r="F58" s="165">
        <v>306</v>
      </c>
      <c r="G58" s="165"/>
      <c r="H58" s="158"/>
      <c r="I58" s="165"/>
      <c r="J58" s="165"/>
      <c r="K58" s="158">
        <f t="shared" si="0"/>
        <v>0</v>
      </c>
      <c r="L58" s="165"/>
      <c r="M58" s="165"/>
      <c r="N58" s="158">
        <f t="shared" si="6"/>
        <v>0</v>
      </c>
      <c r="O58" s="158">
        <f t="shared" si="6"/>
        <v>0</v>
      </c>
      <c r="P58" s="158">
        <f t="shared" si="6"/>
        <v>0</v>
      </c>
      <c r="Q58" s="158">
        <f t="shared" si="3"/>
        <v>0</v>
      </c>
      <c r="R58" s="165"/>
      <c r="S58" s="165"/>
      <c r="T58" s="158">
        <f t="shared" si="4"/>
        <v>0</v>
      </c>
      <c r="U58" s="165"/>
      <c r="V58" s="165"/>
      <c r="W58" s="180"/>
      <c r="X58" s="166"/>
      <c r="Y58" s="166"/>
    </row>
    <row r="59" spans="1:25" s="167" customFormat="1" ht="31.5">
      <c r="A59" s="285" t="s">
        <v>92</v>
      </c>
      <c r="B59" s="146" t="s">
        <v>93</v>
      </c>
      <c r="C59" s="285" t="s">
        <v>10</v>
      </c>
      <c r="D59" s="285"/>
      <c r="E59" s="158">
        <f t="shared" si="2"/>
        <v>6432.4</v>
      </c>
      <c r="F59" s="165">
        <v>6432.4</v>
      </c>
      <c r="G59" s="165"/>
      <c r="H59" s="158">
        <f aca="true" t="shared" si="7" ref="H59:H70">+I59+J59</f>
        <v>6798</v>
      </c>
      <c r="I59" s="165">
        <v>6798</v>
      </c>
      <c r="J59" s="165"/>
      <c r="K59" s="158">
        <f t="shared" si="0"/>
        <v>506798</v>
      </c>
      <c r="L59" s="165">
        <v>6798</v>
      </c>
      <c r="M59" s="165">
        <v>500000</v>
      </c>
      <c r="N59" s="158">
        <f t="shared" si="6"/>
        <v>500000</v>
      </c>
      <c r="O59" s="158">
        <f t="shared" si="6"/>
        <v>0</v>
      </c>
      <c r="P59" s="158">
        <f t="shared" si="6"/>
        <v>500000</v>
      </c>
      <c r="Q59" s="158">
        <f t="shared" si="3"/>
        <v>506798</v>
      </c>
      <c r="R59" s="165">
        <v>6798</v>
      </c>
      <c r="S59" s="165">
        <v>500000</v>
      </c>
      <c r="T59" s="158">
        <f t="shared" si="4"/>
        <v>506798</v>
      </c>
      <c r="U59" s="165">
        <v>6798</v>
      </c>
      <c r="V59" s="165">
        <v>500000</v>
      </c>
      <c r="W59" s="180"/>
      <c r="X59" s="166"/>
      <c r="Y59" s="166"/>
    </row>
    <row r="60" spans="1:25" s="160" customFormat="1" ht="63">
      <c r="A60" s="284" t="s">
        <v>94</v>
      </c>
      <c r="B60" s="145" t="s">
        <v>95</v>
      </c>
      <c r="C60" s="284" t="s">
        <v>96</v>
      </c>
      <c r="D60" s="284"/>
      <c r="E60" s="158">
        <f t="shared" si="2"/>
        <v>514988.921</v>
      </c>
      <c r="F60" s="158">
        <f>+F62</f>
        <v>0</v>
      </c>
      <c r="G60" s="158">
        <f>+G62</f>
        <v>514988.921</v>
      </c>
      <c r="H60" s="158">
        <f t="shared" si="7"/>
        <v>0</v>
      </c>
      <c r="I60" s="158">
        <f>+I62</f>
        <v>0</v>
      </c>
      <c r="J60" s="158">
        <f>+J62</f>
        <v>0</v>
      </c>
      <c r="K60" s="158">
        <f t="shared" si="0"/>
        <v>0</v>
      </c>
      <c r="L60" s="158">
        <f>+L62</f>
        <v>0</v>
      </c>
      <c r="M60" s="158">
        <f>+M62</f>
        <v>0</v>
      </c>
      <c r="N60" s="158">
        <f t="shared" si="6"/>
        <v>0</v>
      </c>
      <c r="O60" s="158">
        <f t="shared" si="6"/>
        <v>0</v>
      </c>
      <c r="P60" s="158">
        <f t="shared" si="6"/>
        <v>0</v>
      </c>
      <c r="Q60" s="158">
        <f t="shared" si="3"/>
        <v>0</v>
      </c>
      <c r="R60" s="158">
        <f>+R62</f>
        <v>0</v>
      </c>
      <c r="S60" s="158">
        <f>+S62</f>
        <v>0</v>
      </c>
      <c r="T60" s="158">
        <f t="shared" si="4"/>
        <v>0</v>
      </c>
      <c r="U60" s="158">
        <f>+U62</f>
        <v>0</v>
      </c>
      <c r="V60" s="158">
        <f>+V62</f>
        <v>0</v>
      </c>
      <c r="W60" s="180"/>
      <c r="X60" s="159"/>
      <c r="Y60" s="159"/>
    </row>
    <row r="61" spans="1:25" s="167" customFormat="1" ht="12.75">
      <c r="A61" s="285"/>
      <c r="B61" s="146" t="s">
        <v>5</v>
      </c>
      <c r="C61" s="285"/>
      <c r="D61" s="285"/>
      <c r="E61" s="158">
        <f t="shared" si="2"/>
        <v>0</v>
      </c>
      <c r="F61" s="165"/>
      <c r="G61" s="165"/>
      <c r="H61" s="158">
        <f t="shared" si="7"/>
        <v>0</v>
      </c>
      <c r="I61" s="165"/>
      <c r="J61" s="165"/>
      <c r="K61" s="158">
        <f t="shared" si="0"/>
        <v>0</v>
      </c>
      <c r="L61" s="165"/>
      <c r="M61" s="165"/>
      <c r="N61" s="158">
        <f t="shared" si="6"/>
        <v>0</v>
      </c>
      <c r="O61" s="158">
        <f t="shared" si="6"/>
        <v>0</v>
      </c>
      <c r="P61" s="158">
        <f t="shared" si="6"/>
        <v>0</v>
      </c>
      <c r="Q61" s="158">
        <f t="shared" si="3"/>
        <v>0</v>
      </c>
      <c r="R61" s="165"/>
      <c r="S61" s="165"/>
      <c r="T61" s="158">
        <f t="shared" si="4"/>
        <v>0</v>
      </c>
      <c r="U61" s="165"/>
      <c r="V61" s="165"/>
      <c r="W61" s="180"/>
      <c r="X61" s="166"/>
      <c r="Y61" s="166"/>
    </row>
    <row r="62" spans="1:25" s="167" customFormat="1" ht="42">
      <c r="A62" s="285" t="s">
        <v>97</v>
      </c>
      <c r="B62" s="146" t="s">
        <v>98</v>
      </c>
      <c r="C62" s="285" t="s">
        <v>10</v>
      </c>
      <c r="D62" s="285"/>
      <c r="E62" s="158">
        <f t="shared" si="2"/>
        <v>514988.921</v>
      </c>
      <c r="F62" s="165"/>
      <c r="G62" s="165">
        <v>514988.921</v>
      </c>
      <c r="H62" s="158">
        <f t="shared" si="7"/>
        <v>0</v>
      </c>
      <c r="I62" s="165"/>
      <c r="J62" s="165"/>
      <c r="K62" s="158">
        <f t="shared" si="0"/>
        <v>0</v>
      </c>
      <c r="L62" s="165"/>
      <c r="M62" s="165"/>
      <c r="N62" s="158">
        <f t="shared" si="6"/>
        <v>0</v>
      </c>
      <c r="O62" s="158">
        <f t="shared" si="6"/>
        <v>0</v>
      </c>
      <c r="P62" s="158">
        <f t="shared" si="6"/>
        <v>0</v>
      </c>
      <c r="Q62" s="158">
        <f t="shared" si="3"/>
        <v>0</v>
      </c>
      <c r="R62" s="165"/>
      <c r="S62" s="165"/>
      <c r="T62" s="158">
        <f t="shared" si="4"/>
        <v>0</v>
      </c>
      <c r="U62" s="165"/>
      <c r="V62" s="165"/>
      <c r="W62" s="180"/>
      <c r="X62" s="166"/>
      <c r="Y62" s="166"/>
    </row>
    <row r="63" spans="1:25" s="160" customFormat="1" ht="73.5">
      <c r="A63" s="284" t="s">
        <v>99</v>
      </c>
      <c r="B63" s="145" t="s">
        <v>100</v>
      </c>
      <c r="C63" s="284" t="s">
        <v>101</v>
      </c>
      <c r="D63" s="284"/>
      <c r="E63" s="158">
        <f>+F63+G63-G63</f>
        <v>676169.3999999999</v>
      </c>
      <c r="F63" s="158">
        <f>+F65+F68+F74+F78+F100+F104+F107+F110</f>
        <v>676169.3999999999</v>
      </c>
      <c r="G63" s="158">
        <f>+G65+G68+G74+G78+G100+G104+G107+G110</f>
        <v>59064.2</v>
      </c>
      <c r="H63" s="158">
        <f t="shared" si="7"/>
        <v>630463</v>
      </c>
      <c r="I63" s="158">
        <f>+I65+I68+I74+I78+I100+I104+I107+I110</f>
        <v>630463</v>
      </c>
      <c r="J63" s="158">
        <f>+J65+J68+J74+J78+J100+J104+J107+J110</f>
        <v>0</v>
      </c>
      <c r="K63" s="158">
        <f t="shared" si="0"/>
        <v>739603</v>
      </c>
      <c r="L63" s="158">
        <f>+L65+L68+L74+L78+L100+L104+L107+L110</f>
        <v>739603</v>
      </c>
      <c r="M63" s="158">
        <f>+M65+M68+M74+M78+M100+M104+M107+M110</f>
        <v>0</v>
      </c>
      <c r="N63" s="158">
        <f t="shared" si="6"/>
        <v>109140</v>
      </c>
      <c r="O63" s="158">
        <f t="shared" si="6"/>
        <v>109140</v>
      </c>
      <c r="P63" s="158">
        <f t="shared" si="6"/>
        <v>0</v>
      </c>
      <c r="Q63" s="158">
        <f t="shared" si="3"/>
        <v>831852.8</v>
      </c>
      <c r="R63" s="158">
        <f>+R65+R68+R74+R78+R100+R104+R107+R110</f>
        <v>831852.8</v>
      </c>
      <c r="S63" s="158">
        <f>+S65+S68+S74+S78+S100+S104+S107+S110</f>
        <v>0</v>
      </c>
      <c r="T63" s="158">
        <f t="shared" si="4"/>
        <v>971826.5</v>
      </c>
      <c r="U63" s="158">
        <f>+U65+U68+U74+U78+U100+U104+U107+U110</f>
        <v>971826.5</v>
      </c>
      <c r="V63" s="158">
        <f>+V65+V68+V74+V78+V100+V104+V107+V110</f>
        <v>0</v>
      </c>
      <c r="W63" s="194" t="s">
        <v>744</v>
      </c>
      <c r="X63" s="159"/>
      <c r="Y63" s="159"/>
    </row>
    <row r="64" spans="1:25" s="167" customFormat="1" ht="10.5">
      <c r="A64" s="285"/>
      <c r="B64" s="146" t="s">
        <v>5</v>
      </c>
      <c r="C64" s="285"/>
      <c r="D64" s="285"/>
      <c r="E64" s="158">
        <f aca="true" t="shared" si="8" ref="E64:E109">+F64+G64</f>
        <v>0</v>
      </c>
      <c r="F64" s="165"/>
      <c r="G64" s="165"/>
      <c r="H64" s="158">
        <f t="shared" si="7"/>
        <v>0</v>
      </c>
      <c r="I64" s="165"/>
      <c r="J64" s="165"/>
      <c r="K64" s="158">
        <f t="shared" si="0"/>
        <v>0</v>
      </c>
      <c r="L64" s="165"/>
      <c r="M64" s="165"/>
      <c r="N64" s="158">
        <f t="shared" si="6"/>
        <v>0</v>
      </c>
      <c r="O64" s="158">
        <f t="shared" si="6"/>
        <v>0</v>
      </c>
      <c r="P64" s="158">
        <f t="shared" si="6"/>
        <v>0</v>
      </c>
      <c r="Q64" s="158">
        <f t="shared" si="3"/>
        <v>0</v>
      </c>
      <c r="R64" s="165"/>
      <c r="S64" s="165"/>
      <c r="T64" s="158">
        <f t="shared" si="4"/>
        <v>0</v>
      </c>
      <c r="U64" s="165"/>
      <c r="V64" s="165"/>
      <c r="W64" s="195"/>
      <c r="X64" s="166"/>
      <c r="Y64" s="166"/>
    </row>
    <row r="65" spans="1:25" s="160" customFormat="1" ht="21">
      <c r="A65" s="284" t="s">
        <v>102</v>
      </c>
      <c r="B65" s="145" t="s">
        <v>103</v>
      </c>
      <c r="C65" s="284" t="s">
        <v>104</v>
      </c>
      <c r="D65" s="284"/>
      <c r="E65" s="158">
        <f t="shared" si="8"/>
        <v>0</v>
      </c>
      <c r="F65" s="158">
        <f>+F67</f>
        <v>0</v>
      </c>
      <c r="G65" s="158">
        <f>+G67</f>
        <v>0</v>
      </c>
      <c r="H65" s="158">
        <f t="shared" si="7"/>
        <v>0</v>
      </c>
      <c r="I65" s="158">
        <f>+I67</f>
        <v>0</v>
      </c>
      <c r="J65" s="158">
        <f>+J67</f>
        <v>0</v>
      </c>
      <c r="K65" s="158">
        <f t="shared" si="0"/>
        <v>0</v>
      </c>
      <c r="L65" s="158">
        <f>+L67</f>
        <v>0</v>
      </c>
      <c r="M65" s="158">
        <f>+M67</f>
        <v>0</v>
      </c>
      <c r="N65" s="158">
        <f t="shared" si="6"/>
        <v>0</v>
      </c>
      <c r="O65" s="158">
        <f t="shared" si="6"/>
        <v>0</v>
      </c>
      <c r="P65" s="158">
        <f t="shared" si="6"/>
        <v>0</v>
      </c>
      <c r="Q65" s="158">
        <f t="shared" si="3"/>
        <v>0</v>
      </c>
      <c r="R65" s="158">
        <f>+R67</f>
        <v>0</v>
      </c>
      <c r="S65" s="158">
        <f>+S67</f>
        <v>0</v>
      </c>
      <c r="T65" s="158">
        <f t="shared" si="4"/>
        <v>0</v>
      </c>
      <c r="U65" s="158">
        <f>+U67</f>
        <v>0</v>
      </c>
      <c r="V65" s="158">
        <f>+V67</f>
        <v>0</v>
      </c>
      <c r="W65" s="196"/>
      <c r="X65" s="159"/>
      <c r="Y65" s="159"/>
    </row>
    <row r="66" spans="1:25" s="167" customFormat="1" ht="12.75">
      <c r="A66" s="285"/>
      <c r="B66" s="146" t="s">
        <v>5</v>
      </c>
      <c r="C66" s="285"/>
      <c r="D66" s="285"/>
      <c r="E66" s="158">
        <f t="shared" si="8"/>
        <v>0</v>
      </c>
      <c r="F66" s="165"/>
      <c r="G66" s="165"/>
      <c r="H66" s="158">
        <f t="shared" si="7"/>
        <v>0</v>
      </c>
      <c r="I66" s="165"/>
      <c r="J66" s="165"/>
      <c r="K66" s="158">
        <f t="shared" si="0"/>
        <v>0</v>
      </c>
      <c r="L66" s="165"/>
      <c r="M66" s="165"/>
      <c r="N66" s="158">
        <f t="shared" si="6"/>
        <v>0</v>
      </c>
      <c r="O66" s="158">
        <f t="shared" si="6"/>
        <v>0</v>
      </c>
      <c r="P66" s="158">
        <f t="shared" si="6"/>
        <v>0</v>
      </c>
      <c r="Q66" s="158">
        <f t="shared" si="3"/>
        <v>0</v>
      </c>
      <c r="R66" s="165"/>
      <c r="S66" s="165"/>
      <c r="T66" s="158">
        <f t="shared" si="4"/>
        <v>0</v>
      </c>
      <c r="U66" s="165"/>
      <c r="V66" s="165"/>
      <c r="W66" s="180"/>
      <c r="X66" s="166"/>
      <c r="Y66" s="166"/>
    </row>
    <row r="67" spans="1:25" s="167" customFormat="1" ht="52.5">
      <c r="A67" s="285" t="s">
        <v>105</v>
      </c>
      <c r="B67" s="146" t="s">
        <v>106</v>
      </c>
      <c r="C67" s="285"/>
      <c r="D67" s="285"/>
      <c r="E67" s="158">
        <f t="shared" si="8"/>
        <v>0</v>
      </c>
      <c r="F67" s="165"/>
      <c r="G67" s="165"/>
      <c r="H67" s="158">
        <f t="shared" si="7"/>
        <v>0</v>
      </c>
      <c r="I67" s="165"/>
      <c r="J67" s="165"/>
      <c r="K67" s="158">
        <f t="shared" si="0"/>
        <v>0</v>
      </c>
      <c r="L67" s="165"/>
      <c r="M67" s="165"/>
      <c r="N67" s="158">
        <f t="shared" si="6"/>
        <v>0</v>
      </c>
      <c r="O67" s="158">
        <f t="shared" si="6"/>
        <v>0</v>
      </c>
      <c r="P67" s="158">
        <f t="shared" si="6"/>
        <v>0</v>
      </c>
      <c r="Q67" s="158">
        <f t="shared" si="3"/>
        <v>0</v>
      </c>
      <c r="R67" s="165"/>
      <c r="S67" s="165"/>
      <c r="T67" s="158">
        <f t="shared" si="4"/>
        <v>0</v>
      </c>
      <c r="U67" s="165"/>
      <c r="V67" s="165"/>
      <c r="W67" s="180"/>
      <c r="X67" s="166"/>
      <c r="Y67" s="166"/>
    </row>
    <row r="68" spans="1:25" s="160" customFormat="1" ht="42">
      <c r="A68" s="284" t="s">
        <v>107</v>
      </c>
      <c r="B68" s="145" t="s">
        <v>108</v>
      </c>
      <c r="C68" s="284" t="s">
        <v>109</v>
      </c>
      <c r="D68" s="284"/>
      <c r="E68" s="158">
        <f t="shared" si="8"/>
        <v>53390.6</v>
      </c>
      <c r="F68" s="158">
        <f>+F70+F71+F72+F73</f>
        <v>53390.6</v>
      </c>
      <c r="G68" s="158">
        <f>+G70+G72+G73</f>
        <v>0</v>
      </c>
      <c r="H68" s="158">
        <f t="shared" si="7"/>
        <v>53300</v>
      </c>
      <c r="I68" s="158">
        <f>+I70+I72+I73</f>
        <v>53300</v>
      </c>
      <c r="J68" s="158">
        <f>+J70+J72+J73</f>
        <v>0</v>
      </c>
      <c r="K68" s="158">
        <f t="shared" si="0"/>
        <v>53300</v>
      </c>
      <c r="L68" s="157">
        <f>+L70+L71+L72+L73</f>
        <v>53300</v>
      </c>
      <c r="M68" s="157">
        <f>+M70+M71+M72+M73</f>
        <v>0</v>
      </c>
      <c r="N68" s="158">
        <f t="shared" si="6"/>
        <v>0</v>
      </c>
      <c r="O68" s="158">
        <f t="shared" si="6"/>
        <v>0</v>
      </c>
      <c r="P68" s="158">
        <f t="shared" si="6"/>
        <v>0</v>
      </c>
      <c r="Q68" s="158">
        <f t="shared" si="3"/>
        <v>55000</v>
      </c>
      <c r="R68" s="157">
        <f>+R70+R71+R72+R73</f>
        <v>55000</v>
      </c>
      <c r="S68" s="157">
        <f>+S70+S71+S72+S73</f>
        <v>0</v>
      </c>
      <c r="T68" s="158">
        <f t="shared" si="4"/>
        <v>55000</v>
      </c>
      <c r="U68" s="157">
        <f>+U70+U71+U72+U73</f>
        <v>55000</v>
      </c>
      <c r="V68" s="157">
        <f>+V70+V71+V72+V73</f>
        <v>0</v>
      </c>
      <c r="W68" s="180"/>
      <c r="X68" s="159"/>
      <c r="Y68" s="159"/>
    </row>
    <row r="69" spans="1:25" s="167" customFormat="1" ht="12.75">
      <c r="A69" s="285"/>
      <c r="B69" s="146" t="s">
        <v>5</v>
      </c>
      <c r="C69" s="285"/>
      <c r="D69" s="285"/>
      <c r="E69" s="158">
        <f t="shared" si="8"/>
        <v>0</v>
      </c>
      <c r="F69" s="165"/>
      <c r="G69" s="165"/>
      <c r="H69" s="158">
        <f t="shared" si="7"/>
        <v>0</v>
      </c>
      <c r="I69" s="165"/>
      <c r="J69" s="165"/>
      <c r="K69" s="158">
        <f t="shared" si="0"/>
        <v>0</v>
      </c>
      <c r="L69" s="165"/>
      <c r="M69" s="165"/>
      <c r="N69" s="158">
        <f t="shared" si="6"/>
        <v>0</v>
      </c>
      <c r="O69" s="158">
        <f t="shared" si="6"/>
        <v>0</v>
      </c>
      <c r="P69" s="158">
        <f t="shared" si="6"/>
        <v>0</v>
      </c>
      <c r="Q69" s="158">
        <f t="shared" si="3"/>
        <v>0</v>
      </c>
      <c r="R69" s="165"/>
      <c r="S69" s="165"/>
      <c r="T69" s="158">
        <f t="shared" si="4"/>
        <v>0</v>
      </c>
      <c r="U69" s="165"/>
      <c r="V69" s="165"/>
      <c r="W69" s="180"/>
      <c r="X69" s="166"/>
      <c r="Y69" s="166"/>
    </row>
    <row r="70" spans="1:25" s="167" customFormat="1" ht="21">
      <c r="A70" s="285" t="s">
        <v>110</v>
      </c>
      <c r="B70" s="146" t="s">
        <v>111</v>
      </c>
      <c r="C70" s="285" t="s">
        <v>10</v>
      </c>
      <c r="D70" s="298" t="s">
        <v>748</v>
      </c>
      <c r="E70" s="158">
        <f t="shared" si="8"/>
        <v>36887.6</v>
      </c>
      <c r="F70" s="165">
        <v>36887.6</v>
      </c>
      <c r="G70" s="165"/>
      <c r="H70" s="158">
        <f t="shared" si="7"/>
        <v>37300</v>
      </c>
      <c r="I70" s="165">
        <v>37300</v>
      </c>
      <c r="J70" s="165"/>
      <c r="K70" s="158">
        <f t="shared" si="0"/>
        <v>37300</v>
      </c>
      <c r="L70" s="165">
        <v>37300</v>
      </c>
      <c r="M70" s="165"/>
      <c r="N70" s="158">
        <f t="shared" si="6"/>
        <v>0</v>
      </c>
      <c r="O70" s="158">
        <f t="shared" si="6"/>
        <v>0</v>
      </c>
      <c r="P70" s="158">
        <f t="shared" si="6"/>
        <v>0</v>
      </c>
      <c r="Q70" s="158">
        <f t="shared" si="3"/>
        <v>35000</v>
      </c>
      <c r="R70" s="165">
        <v>35000</v>
      </c>
      <c r="S70" s="165"/>
      <c r="T70" s="158">
        <f t="shared" si="4"/>
        <v>30000</v>
      </c>
      <c r="U70" s="165">
        <v>30000</v>
      </c>
      <c r="V70" s="165"/>
      <c r="W70" s="180"/>
      <c r="X70" s="166"/>
      <c r="Y70" s="166"/>
    </row>
    <row r="71" spans="1:25" s="167" customFormat="1" ht="42">
      <c r="A71" s="285">
        <v>1332</v>
      </c>
      <c r="B71" s="146" t="s">
        <v>698</v>
      </c>
      <c r="C71" s="285"/>
      <c r="D71" s="299"/>
      <c r="E71" s="158">
        <f t="shared" si="8"/>
        <v>370.5</v>
      </c>
      <c r="F71" s="165">
        <v>370.5</v>
      </c>
      <c r="G71" s="165"/>
      <c r="H71" s="158"/>
      <c r="I71" s="165"/>
      <c r="J71" s="165"/>
      <c r="K71" s="158">
        <f t="shared" si="0"/>
        <v>0</v>
      </c>
      <c r="L71" s="165"/>
      <c r="M71" s="165"/>
      <c r="N71" s="158">
        <f t="shared" si="6"/>
        <v>0</v>
      </c>
      <c r="O71" s="158">
        <f t="shared" si="6"/>
        <v>0</v>
      </c>
      <c r="P71" s="158">
        <f t="shared" si="6"/>
        <v>0</v>
      </c>
      <c r="Q71" s="158">
        <f t="shared" si="3"/>
        <v>0</v>
      </c>
      <c r="R71" s="165"/>
      <c r="S71" s="165"/>
      <c r="T71" s="158">
        <f t="shared" si="4"/>
        <v>0</v>
      </c>
      <c r="U71" s="165"/>
      <c r="V71" s="165"/>
      <c r="W71" s="180"/>
      <c r="X71" s="166"/>
      <c r="Y71" s="166"/>
    </row>
    <row r="72" spans="1:25" s="167" customFormat="1" ht="63">
      <c r="A72" s="285" t="s">
        <v>112</v>
      </c>
      <c r="B72" s="146" t="s">
        <v>113</v>
      </c>
      <c r="C72" s="285" t="s">
        <v>10</v>
      </c>
      <c r="D72" s="299"/>
      <c r="E72" s="158">
        <f t="shared" si="8"/>
        <v>0</v>
      </c>
      <c r="F72" s="165"/>
      <c r="G72" s="165"/>
      <c r="H72" s="158">
        <f>+I72+J72</f>
        <v>0</v>
      </c>
      <c r="I72" s="165"/>
      <c r="J72" s="165"/>
      <c r="K72" s="158">
        <f t="shared" si="0"/>
        <v>0</v>
      </c>
      <c r="L72" s="165"/>
      <c r="M72" s="165"/>
      <c r="N72" s="158">
        <f t="shared" si="6"/>
        <v>0</v>
      </c>
      <c r="O72" s="158">
        <f t="shared" si="6"/>
        <v>0</v>
      </c>
      <c r="P72" s="158">
        <f t="shared" si="6"/>
        <v>0</v>
      </c>
      <c r="Q72" s="158">
        <f t="shared" si="3"/>
        <v>0</v>
      </c>
      <c r="R72" s="165"/>
      <c r="S72" s="165"/>
      <c r="T72" s="158">
        <f t="shared" si="4"/>
        <v>0</v>
      </c>
      <c r="U72" s="165"/>
      <c r="V72" s="165"/>
      <c r="W72" s="180"/>
      <c r="X72" s="166"/>
      <c r="Y72" s="166"/>
    </row>
    <row r="73" spans="1:25" s="167" customFormat="1" ht="21">
      <c r="A73" s="285" t="s">
        <v>114</v>
      </c>
      <c r="B73" s="146" t="s">
        <v>115</v>
      </c>
      <c r="C73" s="285" t="s">
        <v>10</v>
      </c>
      <c r="D73" s="300"/>
      <c r="E73" s="158">
        <f t="shared" si="8"/>
        <v>16132.5</v>
      </c>
      <c r="F73" s="165">
        <v>16132.5</v>
      </c>
      <c r="G73" s="165"/>
      <c r="H73" s="158">
        <f>+I73+J73</f>
        <v>16000</v>
      </c>
      <c r="I73" s="165">
        <v>16000</v>
      </c>
      <c r="J73" s="165"/>
      <c r="K73" s="158">
        <f t="shared" si="0"/>
        <v>16000</v>
      </c>
      <c r="L73" s="165">
        <v>16000</v>
      </c>
      <c r="M73" s="165"/>
      <c r="N73" s="158">
        <f t="shared" si="6"/>
        <v>0</v>
      </c>
      <c r="O73" s="158">
        <f t="shared" si="6"/>
        <v>0</v>
      </c>
      <c r="P73" s="158">
        <f t="shared" si="6"/>
        <v>0</v>
      </c>
      <c r="Q73" s="158">
        <f t="shared" si="3"/>
        <v>20000</v>
      </c>
      <c r="R73" s="165">
        <v>20000</v>
      </c>
      <c r="S73" s="165"/>
      <c r="T73" s="158">
        <f t="shared" si="4"/>
        <v>25000</v>
      </c>
      <c r="U73" s="165">
        <v>25000</v>
      </c>
      <c r="V73" s="165"/>
      <c r="W73" s="180"/>
      <c r="X73" s="166"/>
      <c r="Y73" s="166"/>
    </row>
    <row r="74" spans="1:25" s="160" customFormat="1" ht="73.5">
      <c r="A74" s="284" t="s">
        <v>116</v>
      </c>
      <c r="B74" s="145" t="s">
        <v>117</v>
      </c>
      <c r="C74" s="284" t="s">
        <v>118</v>
      </c>
      <c r="D74" s="284"/>
      <c r="E74" s="158">
        <f t="shared" si="8"/>
        <v>10257.4</v>
      </c>
      <c r="F74" s="158">
        <f>+F76+F77</f>
        <v>10257.4</v>
      </c>
      <c r="G74" s="158">
        <f>+G76</f>
        <v>0</v>
      </c>
      <c r="H74" s="158">
        <f>+I74+J74</f>
        <v>3618</v>
      </c>
      <c r="I74" s="158">
        <f>+I76</f>
        <v>3618</v>
      </c>
      <c r="J74" s="158">
        <f>+J76</f>
        <v>0</v>
      </c>
      <c r="K74" s="158">
        <f aca="true" t="shared" si="9" ref="K74:K114">+L74+M74</f>
        <v>3618</v>
      </c>
      <c r="L74" s="158">
        <f>+L76</f>
        <v>3618</v>
      </c>
      <c r="M74" s="158">
        <f>+M76</f>
        <v>0</v>
      </c>
      <c r="N74" s="158">
        <f aca="true" t="shared" si="10" ref="N74:P105">+K74-H74</f>
        <v>0</v>
      </c>
      <c r="O74" s="158">
        <f t="shared" si="10"/>
        <v>0</v>
      </c>
      <c r="P74" s="158">
        <f t="shared" si="10"/>
        <v>0</v>
      </c>
      <c r="Q74" s="158">
        <f t="shared" si="3"/>
        <v>3618</v>
      </c>
      <c r="R74" s="158">
        <f>+R76</f>
        <v>3618</v>
      </c>
      <c r="S74" s="158">
        <f>+S76</f>
        <v>0</v>
      </c>
      <c r="T74" s="158">
        <f t="shared" si="4"/>
        <v>3618</v>
      </c>
      <c r="U74" s="158">
        <f>+U76</f>
        <v>3618</v>
      </c>
      <c r="V74" s="158">
        <f>+V76</f>
        <v>0</v>
      </c>
      <c r="W74" s="180"/>
      <c r="X74" s="159"/>
      <c r="Y74" s="159"/>
    </row>
    <row r="75" spans="1:25" s="167" customFormat="1" ht="12.75">
      <c r="A75" s="285"/>
      <c r="B75" s="146" t="s">
        <v>5</v>
      </c>
      <c r="C75" s="285"/>
      <c r="D75" s="285"/>
      <c r="E75" s="158">
        <f t="shared" si="8"/>
        <v>0</v>
      </c>
      <c r="F75" s="165"/>
      <c r="G75" s="165"/>
      <c r="H75" s="158">
        <f>+I75+J75</f>
        <v>0</v>
      </c>
      <c r="I75" s="165"/>
      <c r="J75" s="165"/>
      <c r="K75" s="158">
        <f t="shared" si="9"/>
        <v>0</v>
      </c>
      <c r="L75" s="165"/>
      <c r="M75" s="165"/>
      <c r="N75" s="158">
        <f t="shared" si="10"/>
        <v>0</v>
      </c>
      <c r="O75" s="158">
        <f t="shared" si="10"/>
        <v>0</v>
      </c>
      <c r="P75" s="158">
        <f t="shared" si="10"/>
        <v>0</v>
      </c>
      <c r="Q75" s="158">
        <f aca="true" t="shared" si="11" ref="Q75:Q114">+R75+S75</f>
        <v>0</v>
      </c>
      <c r="R75" s="165"/>
      <c r="S75" s="165"/>
      <c r="T75" s="158">
        <f aca="true" t="shared" si="12" ref="T75:T114">+U75+V75</f>
        <v>0</v>
      </c>
      <c r="U75" s="165"/>
      <c r="V75" s="165"/>
      <c r="W75" s="180"/>
      <c r="X75" s="166"/>
      <c r="Y75" s="166"/>
    </row>
    <row r="76" spans="1:25" s="167" customFormat="1" ht="138.75">
      <c r="A76" s="285" t="s">
        <v>119</v>
      </c>
      <c r="B76" s="146" t="s">
        <v>120</v>
      </c>
      <c r="C76" s="285"/>
      <c r="D76" s="301" t="s">
        <v>751</v>
      </c>
      <c r="E76" s="158">
        <f t="shared" si="8"/>
        <v>5561.4</v>
      </c>
      <c r="F76" s="165">
        <v>5561.4</v>
      </c>
      <c r="G76" s="165"/>
      <c r="H76" s="158">
        <f>+I76+J76</f>
        <v>3618</v>
      </c>
      <c r="I76" s="165">
        <v>3618</v>
      </c>
      <c r="J76" s="165"/>
      <c r="K76" s="158">
        <f t="shared" si="9"/>
        <v>3618</v>
      </c>
      <c r="L76" s="165">
        <v>3618</v>
      </c>
      <c r="M76" s="165"/>
      <c r="N76" s="158">
        <f t="shared" si="10"/>
        <v>0</v>
      </c>
      <c r="O76" s="158">
        <f t="shared" si="10"/>
        <v>0</v>
      </c>
      <c r="P76" s="158">
        <f t="shared" si="10"/>
        <v>0</v>
      </c>
      <c r="Q76" s="158">
        <f t="shared" si="11"/>
        <v>3618</v>
      </c>
      <c r="R76" s="165">
        <v>3618</v>
      </c>
      <c r="S76" s="165"/>
      <c r="T76" s="158">
        <f t="shared" si="12"/>
        <v>3618</v>
      </c>
      <c r="U76" s="165">
        <v>3618</v>
      </c>
      <c r="V76" s="165"/>
      <c r="W76" s="180"/>
      <c r="X76" s="166"/>
      <c r="Y76" s="166"/>
    </row>
    <row r="77" spans="1:25" s="167" customFormat="1" ht="63">
      <c r="A77" s="285">
        <v>1343</v>
      </c>
      <c r="B77" s="146" t="s">
        <v>699</v>
      </c>
      <c r="C77" s="285"/>
      <c r="D77" s="285"/>
      <c r="E77" s="158">
        <f t="shared" si="8"/>
        <v>4696</v>
      </c>
      <c r="F77" s="165">
        <v>4696</v>
      </c>
      <c r="G77" s="165"/>
      <c r="H77" s="158"/>
      <c r="I77" s="165"/>
      <c r="J77" s="165"/>
      <c r="K77" s="158">
        <f t="shared" si="9"/>
        <v>0</v>
      </c>
      <c r="L77" s="165"/>
      <c r="M77" s="165"/>
      <c r="N77" s="158">
        <f t="shared" si="10"/>
        <v>0</v>
      </c>
      <c r="O77" s="158">
        <f t="shared" si="10"/>
        <v>0</v>
      </c>
      <c r="P77" s="158">
        <f t="shared" si="10"/>
        <v>0</v>
      </c>
      <c r="Q77" s="158">
        <f t="shared" si="11"/>
        <v>0</v>
      </c>
      <c r="R77" s="165"/>
      <c r="S77" s="165"/>
      <c r="T77" s="158">
        <f t="shared" si="12"/>
        <v>0</v>
      </c>
      <c r="U77" s="165"/>
      <c r="V77" s="165"/>
      <c r="W77" s="180"/>
      <c r="X77" s="166"/>
      <c r="Y77" s="166"/>
    </row>
    <row r="78" spans="1:25" s="160" customFormat="1" ht="42">
      <c r="A78" s="284" t="s">
        <v>121</v>
      </c>
      <c r="B78" s="145" t="s">
        <v>122</v>
      </c>
      <c r="C78" s="284" t="s">
        <v>123</v>
      </c>
      <c r="D78" s="284"/>
      <c r="E78" s="158">
        <f t="shared" si="8"/>
        <v>504899.8999999999</v>
      </c>
      <c r="F78" s="158">
        <f>+F80+F99</f>
        <v>504899.8999999999</v>
      </c>
      <c r="G78" s="158">
        <f>+G80+G99</f>
        <v>0</v>
      </c>
      <c r="H78" s="158">
        <f aca="true" t="shared" si="13" ref="H78:H88">+I78+J78</f>
        <v>440010</v>
      </c>
      <c r="I78" s="158">
        <f>+I80+I99</f>
        <v>440010</v>
      </c>
      <c r="J78" s="158">
        <f>+J80+J99</f>
        <v>0</v>
      </c>
      <c r="K78" s="158">
        <f t="shared" si="9"/>
        <v>557685</v>
      </c>
      <c r="L78" s="158">
        <f>+L80+L99</f>
        <v>557685</v>
      </c>
      <c r="M78" s="158">
        <f>+M80+M99</f>
        <v>0</v>
      </c>
      <c r="N78" s="158">
        <f t="shared" si="10"/>
        <v>117675</v>
      </c>
      <c r="O78" s="158">
        <f t="shared" si="10"/>
        <v>117675</v>
      </c>
      <c r="P78" s="158">
        <f t="shared" si="10"/>
        <v>0</v>
      </c>
      <c r="Q78" s="158">
        <f t="shared" si="11"/>
        <v>557685</v>
      </c>
      <c r="R78" s="158">
        <f>+R80+R99</f>
        <v>557685</v>
      </c>
      <c r="S78" s="158">
        <f>+S80+S99</f>
        <v>0</v>
      </c>
      <c r="T78" s="158">
        <f t="shared" si="12"/>
        <v>557685</v>
      </c>
      <c r="U78" s="158">
        <f>+U80+U99</f>
        <v>557685</v>
      </c>
      <c r="V78" s="158">
        <f>+V80+V99</f>
        <v>0</v>
      </c>
      <c r="W78" s="180"/>
      <c r="X78" s="159"/>
      <c r="Y78" s="159"/>
    </row>
    <row r="79" spans="1:25" s="167" customFormat="1" ht="12.75">
      <c r="A79" s="285"/>
      <c r="B79" s="146" t="s">
        <v>5</v>
      </c>
      <c r="C79" s="285"/>
      <c r="D79" s="285"/>
      <c r="E79" s="158">
        <f t="shared" si="8"/>
        <v>0</v>
      </c>
      <c r="F79" s="165"/>
      <c r="G79" s="165"/>
      <c r="H79" s="158">
        <f t="shared" si="13"/>
        <v>0</v>
      </c>
      <c r="I79" s="165"/>
      <c r="J79" s="165"/>
      <c r="K79" s="158">
        <f t="shared" si="9"/>
        <v>0</v>
      </c>
      <c r="L79" s="165"/>
      <c r="M79" s="165"/>
      <c r="N79" s="158">
        <f t="shared" si="10"/>
        <v>0</v>
      </c>
      <c r="O79" s="158">
        <f t="shared" si="10"/>
        <v>0</v>
      </c>
      <c r="P79" s="158">
        <f t="shared" si="10"/>
        <v>0</v>
      </c>
      <c r="Q79" s="158">
        <f t="shared" si="11"/>
        <v>0</v>
      </c>
      <c r="R79" s="165"/>
      <c r="S79" s="165"/>
      <c r="T79" s="158">
        <f t="shared" si="12"/>
        <v>0</v>
      </c>
      <c r="U79" s="165"/>
      <c r="V79" s="165"/>
      <c r="W79" s="180"/>
      <c r="X79" s="166"/>
      <c r="Y79" s="166"/>
    </row>
    <row r="80" spans="1:25" s="167" customFormat="1" ht="84">
      <c r="A80" s="285" t="s">
        <v>124</v>
      </c>
      <c r="B80" s="146" t="s">
        <v>125</v>
      </c>
      <c r="C80" s="285" t="s">
        <v>10</v>
      </c>
      <c r="D80" s="285"/>
      <c r="E80" s="158">
        <f t="shared" si="8"/>
        <v>311968.79999999993</v>
      </c>
      <c r="F80" s="165">
        <f>+F82+F83+F84+F85+F86+F87+F88+F91+F92+F93+F94+F95+F96+F97+F98+F89+F90</f>
        <v>311968.79999999993</v>
      </c>
      <c r="G80" s="165">
        <f>+G82+G83+G84+G85+G86+G87+G88+G91+G92+G93+G94+G95+G96+G97+G98</f>
        <v>0</v>
      </c>
      <c r="H80" s="158">
        <f t="shared" si="13"/>
        <v>353610</v>
      </c>
      <c r="I80" s="165">
        <f>+I82+I83+I84+I85+I86+I87+I88+I91+I92+I93+I94+I95+I96+I97+I98</f>
        <v>353610</v>
      </c>
      <c r="J80" s="165">
        <f>+J82+J83+J84+J85+J86+J87+J88+J91+J92+J93+J94+J95+J96+J97+J98</f>
        <v>0</v>
      </c>
      <c r="K80" s="158">
        <f t="shared" si="9"/>
        <v>407685</v>
      </c>
      <c r="L80" s="164">
        <f>+L82+L83+L84+L85+L86+L87+L88+L91+L92+L93+L94+L95+L96+L97+L98+L89+L90</f>
        <v>407685</v>
      </c>
      <c r="M80" s="164">
        <f>+M82+M83+M84+M85+M86+M87+M88+M91+M92+M93+M94+M95+M96+M97+M98+M89+M90</f>
        <v>0</v>
      </c>
      <c r="N80" s="158">
        <f t="shared" si="10"/>
        <v>54075</v>
      </c>
      <c r="O80" s="158">
        <f t="shared" si="10"/>
        <v>54075</v>
      </c>
      <c r="P80" s="158">
        <f t="shared" si="10"/>
        <v>0</v>
      </c>
      <c r="Q80" s="158">
        <f t="shared" si="11"/>
        <v>407685</v>
      </c>
      <c r="R80" s="164">
        <f>+R82+R83+R84+R85+R86+R87+R88+R91+R92+R93+R94+R95+R96+R97+R98+R89+R90</f>
        <v>407685</v>
      </c>
      <c r="S80" s="164">
        <f>+S82+S83+S84+S85+S86+S87+S88+S91+S92+S93+S94+S95+S96+S97+S98+S89+S90</f>
        <v>0</v>
      </c>
      <c r="T80" s="158">
        <f t="shared" si="12"/>
        <v>407685</v>
      </c>
      <c r="U80" s="164">
        <f>+U82+U83+U84+U85+U86+U87+U88+U91+U92+U93+U94+U95+U96+U97+U98+U89+U90</f>
        <v>407685</v>
      </c>
      <c r="V80" s="164">
        <f>+V82+V83+V84+V85+V86+V87+V88+V91+V92+V93+V94+V95+V96+V97+V98+V89+V90</f>
        <v>0</v>
      </c>
      <c r="W80" s="180"/>
      <c r="X80" s="166"/>
      <c r="Y80" s="166"/>
    </row>
    <row r="81" spans="1:25" s="167" customFormat="1" ht="12.75">
      <c r="A81" s="285"/>
      <c r="B81" s="146" t="s">
        <v>5</v>
      </c>
      <c r="C81" s="285"/>
      <c r="D81" s="285"/>
      <c r="E81" s="158">
        <f t="shared" si="8"/>
        <v>0</v>
      </c>
      <c r="F81" s="165"/>
      <c r="G81" s="165"/>
      <c r="H81" s="158">
        <f t="shared" si="13"/>
        <v>0</v>
      </c>
      <c r="I81" s="165"/>
      <c r="J81" s="165"/>
      <c r="K81" s="158">
        <f t="shared" si="9"/>
        <v>0</v>
      </c>
      <c r="L81" s="165"/>
      <c r="M81" s="165"/>
      <c r="N81" s="158">
        <f t="shared" si="10"/>
        <v>0</v>
      </c>
      <c r="O81" s="158">
        <f t="shared" si="10"/>
        <v>0</v>
      </c>
      <c r="P81" s="158">
        <f t="shared" si="10"/>
        <v>0</v>
      </c>
      <c r="Q81" s="158">
        <f t="shared" si="11"/>
        <v>0</v>
      </c>
      <c r="R81" s="165"/>
      <c r="S81" s="165"/>
      <c r="T81" s="158">
        <f t="shared" si="12"/>
        <v>0</v>
      </c>
      <c r="U81" s="165"/>
      <c r="V81" s="165"/>
      <c r="W81" s="180"/>
      <c r="X81" s="166"/>
      <c r="Y81" s="166"/>
    </row>
    <row r="82" spans="1:25" s="167" customFormat="1" ht="73.5">
      <c r="A82" s="285" t="s">
        <v>126</v>
      </c>
      <c r="B82" s="146" t="s">
        <v>127</v>
      </c>
      <c r="C82" s="285" t="s">
        <v>10</v>
      </c>
      <c r="D82" s="302" t="s">
        <v>749</v>
      </c>
      <c r="E82" s="158">
        <f t="shared" si="8"/>
        <v>0</v>
      </c>
      <c r="F82" s="165"/>
      <c r="G82" s="165"/>
      <c r="H82" s="158">
        <f t="shared" si="13"/>
        <v>0</v>
      </c>
      <c r="I82" s="165"/>
      <c r="J82" s="165"/>
      <c r="K82" s="158">
        <f t="shared" si="9"/>
        <v>0</v>
      </c>
      <c r="L82" s="165"/>
      <c r="M82" s="165"/>
      <c r="N82" s="158">
        <f t="shared" si="10"/>
        <v>0</v>
      </c>
      <c r="O82" s="158">
        <f t="shared" si="10"/>
        <v>0</v>
      </c>
      <c r="P82" s="158">
        <f t="shared" si="10"/>
        <v>0</v>
      </c>
      <c r="Q82" s="158">
        <f t="shared" si="11"/>
        <v>0</v>
      </c>
      <c r="R82" s="165"/>
      <c r="S82" s="165"/>
      <c r="T82" s="158">
        <f t="shared" si="12"/>
        <v>0</v>
      </c>
      <c r="U82" s="165"/>
      <c r="V82" s="165"/>
      <c r="W82" s="180"/>
      <c r="X82" s="166"/>
      <c r="Y82" s="166"/>
    </row>
    <row r="83" spans="1:25" s="167" customFormat="1" ht="94.5">
      <c r="A83" s="285" t="s">
        <v>128</v>
      </c>
      <c r="B83" s="146" t="s">
        <v>129</v>
      </c>
      <c r="C83" s="285" t="s">
        <v>10</v>
      </c>
      <c r="D83" s="299"/>
      <c r="E83" s="158">
        <f t="shared" si="8"/>
        <v>0</v>
      </c>
      <c r="F83" s="165"/>
      <c r="G83" s="165"/>
      <c r="H83" s="158">
        <f t="shared" si="13"/>
        <v>4185</v>
      </c>
      <c r="I83" s="165">
        <v>4185</v>
      </c>
      <c r="J83" s="165"/>
      <c r="K83" s="158">
        <f t="shared" si="9"/>
        <v>4185</v>
      </c>
      <c r="L83" s="165">
        <v>4185</v>
      </c>
      <c r="M83" s="165"/>
      <c r="N83" s="158">
        <f t="shared" si="10"/>
        <v>0</v>
      </c>
      <c r="O83" s="158">
        <f t="shared" si="10"/>
        <v>0</v>
      </c>
      <c r="P83" s="158">
        <f t="shared" si="10"/>
        <v>0</v>
      </c>
      <c r="Q83" s="158">
        <f t="shared" si="11"/>
        <v>4185</v>
      </c>
      <c r="R83" s="165">
        <v>4185</v>
      </c>
      <c r="S83" s="165"/>
      <c r="T83" s="158">
        <f t="shared" si="12"/>
        <v>4185</v>
      </c>
      <c r="U83" s="165">
        <v>4185</v>
      </c>
      <c r="V83" s="165"/>
      <c r="W83" s="180"/>
      <c r="X83" s="166"/>
      <c r="Y83" s="166"/>
    </row>
    <row r="84" spans="1:25" s="167" customFormat="1" ht="52.5">
      <c r="A84" s="285" t="s">
        <v>130</v>
      </c>
      <c r="B84" s="146" t="s">
        <v>131</v>
      </c>
      <c r="C84" s="285" t="s">
        <v>10</v>
      </c>
      <c r="D84" s="299"/>
      <c r="E84" s="158">
        <f t="shared" si="8"/>
        <v>4214.3</v>
      </c>
      <c r="F84" s="165">
        <v>4214.3</v>
      </c>
      <c r="G84" s="165"/>
      <c r="H84" s="158">
        <f t="shared" si="13"/>
        <v>0</v>
      </c>
      <c r="I84" s="165"/>
      <c r="J84" s="165"/>
      <c r="K84" s="158">
        <f t="shared" si="9"/>
        <v>0</v>
      </c>
      <c r="L84" s="165"/>
      <c r="M84" s="165"/>
      <c r="N84" s="158">
        <f t="shared" si="10"/>
        <v>0</v>
      </c>
      <c r="O84" s="158">
        <f t="shared" si="10"/>
        <v>0</v>
      </c>
      <c r="P84" s="158">
        <f t="shared" si="10"/>
        <v>0</v>
      </c>
      <c r="Q84" s="158">
        <f t="shared" si="11"/>
        <v>0</v>
      </c>
      <c r="R84" s="165"/>
      <c r="S84" s="165"/>
      <c r="T84" s="158">
        <f t="shared" si="12"/>
        <v>0</v>
      </c>
      <c r="U84" s="165"/>
      <c r="V84" s="165"/>
      <c r="W84" s="180"/>
      <c r="X84" s="166"/>
      <c r="Y84" s="166"/>
    </row>
    <row r="85" spans="1:25" s="167" customFormat="1" ht="84">
      <c r="A85" s="285" t="s">
        <v>132</v>
      </c>
      <c r="B85" s="146" t="s">
        <v>133</v>
      </c>
      <c r="C85" s="285" t="s">
        <v>10</v>
      </c>
      <c r="D85" s="299"/>
      <c r="E85" s="158">
        <f t="shared" si="8"/>
        <v>2217.6</v>
      </c>
      <c r="F85" s="165">
        <v>2217.6</v>
      </c>
      <c r="G85" s="165"/>
      <c r="H85" s="158">
        <f t="shared" si="13"/>
        <v>0</v>
      </c>
      <c r="I85" s="165"/>
      <c r="J85" s="165"/>
      <c r="K85" s="158">
        <f t="shared" si="9"/>
        <v>0</v>
      </c>
      <c r="L85" s="165"/>
      <c r="M85" s="165"/>
      <c r="N85" s="158">
        <f t="shared" si="10"/>
        <v>0</v>
      </c>
      <c r="O85" s="158">
        <f t="shared" si="10"/>
        <v>0</v>
      </c>
      <c r="P85" s="158">
        <f t="shared" si="10"/>
        <v>0</v>
      </c>
      <c r="Q85" s="158">
        <f t="shared" si="11"/>
        <v>0</v>
      </c>
      <c r="R85" s="165"/>
      <c r="S85" s="165"/>
      <c r="T85" s="158">
        <f t="shared" si="12"/>
        <v>0</v>
      </c>
      <c r="U85" s="165"/>
      <c r="V85" s="165"/>
      <c r="W85" s="180"/>
      <c r="X85" s="166"/>
      <c r="Y85" s="166"/>
    </row>
    <row r="86" spans="1:25" s="167" customFormat="1" ht="31.5">
      <c r="A86" s="285" t="s">
        <v>134</v>
      </c>
      <c r="B86" s="146" t="s">
        <v>135</v>
      </c>
      <c r="C86" s="285" t="s">
        <v>10</v>
      </c>
      <c r="D86" s="299"/>
      <c r="E86" s="158">
        <f t="shared" si="8"/>
        <v>2474.5</v>
      </c>
      <c r="F86" s="165">
        <v>2474.5</v>
      </c>
      <c r="G86" s="165"/>
      <c r="H86" s="158">
        <f t="shared" si="13"/>
        <v>2525</v>
      </c>
      <c r="I86" s="165">
        <v>2525</v>
      </c>
      <c r="J86" s="165"/>
      <c r="K86" s="158">
        <f t="shared" si="9"/>
        <v>4000</v>
      </c>
      <c r="L86" s="165">
        <v>4000</v>
      </c>
      <c r="M86" s="165"/>
      <c r="N86" s="158">
        <f t="shared" si="10"/>
        <v>1475</v>
      </c>
      <c r="O86" s="158">
        <f t="shared" si="10"/>
        <v>1475</v>
      </c>
      <c r="P86" s="158">
        <f t="shared" si="10"/>
        <v>0</v>
      </c>
      <c r="Q86" s="158">
        <f t="shared" si="11"/>
        <v>4000</v>
      </c>
      <c r="R86" s="165">
        <v>4000</v>
      </c>
      <c r="S86" s="165"/>
      <c r="T86" s="158">
        <f t="shared" si="12"/>
        <v>4000</v>
      </c>
      <c r="U86" s="165">
        <v>4000</v>
      </c>
      <c r="V86" s="165"/>
      <c r="W86" s="180"/>
      <c r="X86" s="166"/>
      <c r="Y86" s="166"/>
    </row>
    <row r="87" spans="1:25" s="167" customFormat="1" ht="42">
      <c r="A87" s="285" t="s">
        <v>136</v>
      </c>
      <c r="B87" s="146" t="s">
        <v>137</v>
      </c>
      <c r="C87" s="285" t="s">
        <v>10</v>
      </c>
      <c r="D87" s="299"/>
      <c r="E87" s="158">
        <f t="shared" si="8"/>
        <v>184257.4</v>
      </c>
      <c r="F87" s="165">
        <v>184257.4</v>
      </c>
      <c r="G87" s="165"/>
      <c r="H87" s="158">
        <f t="shared" si="13"/>
        <v>224000</v>
      </c>
      <c r="I87" s="165">
        <v>224000</v>
      </c>
      <c r="J87" s="165"/>
      <c r="K87" s="158">
        <f t="shared" si="9"/>
        <v>200000</v>
      </c>
      <c r="L87" s="165">
        <v>200000</v>
      </c>
      <c r="M87" s="165"/>
      <c r="N87" s="158">
        <f t="shared" si="10"/>
        <v>-24000</v>
      </c>
      <c r="O87" s="158">
        <f t="shared" si="10"/>
        <v>-24000</v>
      </c>
      <c r="P87" s="158">
        <f t="shared" si="10"/>
        <v>0</v>
      </c>
      <c r="Q87" s="158">
        <f t="shared" si="11"/>
        <v>200000</v>
      </c>
      <c r="R87" s="165">
        <v>200000</v>
      </c>
      <c r="S87" s="165"/>
      <c r="T87" s="158">
        <f t="shared" si="12"/>
        <v>200000</v>
      </c>
      <c r="U87" s="165">
        <v>200000</v>
      </c>
      <c r="V87" s="165"/>
      <c r="W87" s="180"/>
      <c r="X87" s="166"/>
      <c r="Y87" s="166"/>
    </row>
    <row r="88" spans="1:25" s="167" customFormat="1" ht="105">
      <c r="A88" s="285" t="s">
        <v>138</v>
      </c>
      <c r="B88" s="146" t="s">
        <v>139</v>
      </c>
      <c r="C88" s="285" t="s">
        <v>10</v>
      </c>
      <c r="D88" s="299"/>
      <c r="E88" s="158">
        <f t="shared" si="8"/>
        <v>0</v>
      </c>
      <c r="F88" s="165"/>
      <c r="G88" s="165"/>
      <c r="H88" s="158">
        <f t="shared" si="13"/>
        <v>0</v>
      </c>
      <c r="I88" s="165"/>
      <c r="J88" s="165"/>
      <c r="K88" s="158">
        <f t="shared" si="9"/>
        <v>0</v>
      </c>
      <c r="L88" s="165"/>
      <c r="M88" s="165"/>
      <c r="N88" s="158">
        <f t="shared" si="10"/>
        <v>0</v>
      </c>
      <c r="O88" s="158">
        <f t="shared" si="10"/>
        <v>0</v>
      </c>
      <c r="P88" s="158">
        <f t="shared" si="10"/>
        <v>0</v>
      </c>
      <c r="Q88" s="158">
        <f t="shared" si="11"/>
        <v>0</v>
      </c>
      <c r="R88" s="165"/>
      <c r="S88" s="165"/>
      <c r="T88" s="158">
        <f t="shared" si="12"/>
        <v>0</v>
      </c>
      <c r="U88" s="165"/>
      <c r="V88" s="165"/>
      <c r="W88" s="180"/>
      <c r="X88" s="166"/>
      <c r="Y88" s="166"/>
    </row>
    <row r="89" spans="1:25" s="167" customFormat="1" ht="52.5">
      <c r="A89" s="285">
        <v>13510</v>
      </c>
      <c r="B89" s="288" t="s">
        <v>700</v>
      </c>
      <c r="C89" s="285"/>
      <c r="D89" s="299"/>
      <c r="E89" s="158">
        <f t="shared" si="8"/>
        <v>3174.1</v>
      </c>
      <c r="F89" s="165">
        <v>3174.1</v>
      </c>
      <c r="G89" s="165"/>
      <c r="H89" s="158"/>
      <c r="I89" s="165"/>
      <c r="J89" s="165"/>
      <c r="K89" s="158">
        <f t="shared" si="9"/>
        <v>4000</v>
      </c>
      <c r="L89" s="165">
        <v>4000</v>
      </c>
      <c r="M89" s="165"/>
      <c r="N89" s="158">
        <f t="shared" si="10"/>
        <v>4000</v>
      </c>
      <c r="O89" s="158">
        <f t="shared" si="10"/>
        <v>4000</v>
      </c>
      <c r="P89" s="158">
        <f t="shared" si="10"/>
        <v>0</v>
      </c>
      <c r="Q89" s="158">
        <f t="shared" si="11"/>
        <v>4000</v>
      </c>
      <c r="R89" s="165">
        <v>4000</v>
      </c>
      <c r="S89" s="165"/>
      <c r="T89" s="158">
        <f t="shared" si="12"/>
        <v>4000</v>
      </c>
      <c r="U89" s="165">
        <v>4000</v>
      </c>
      <c r="V89" s="165"/>
      <c r="W89" s="180"/>
      <c r="X89" s="166"/>
      <c r="Y89" s="166"/>
    </row>
    <row r="90" spans="1:25" s="167" customFormat="1" ht="105">
      <c r="A90" s="285">
        <v>13511</v>
      </c>
      <c r="B90" s="288" t="s">
        <v>701</v>
      </c>
      <c r="C90" s="285"/>
      <c r="D90" s="299"/>
      <c r="E90" s="158">
        <f t="shared" si="8"/>
        <v>75</v>
      </c>
      <c r="F90" s="165">
        <v>75</v>
      </c>
      <c r="G90" s="165"/>
      <c r="H90" s="158"/>
      <c r="I90" s="165"/>
      <c r="J90" s="165"/>
      <c r="K90" s="158">
        <f t="shared" si="9"/>
        <v>0</v>
      </c>
      <c r="L90" s="165"/>
      <c r="M90" s="165"/>
      <c r="N90" s="158">
        <f t="shared" si="10"/>
        <v>0</v>
      </c>
      <c r="O90" s="158">
        <f t="shared" si="10"/>
        <v>0</v>
      </c>
      <c r="P90" s="158">
        <f t="shared" si="10"/>
        <v>0</v>
      </c>
      <c r="Q90" s="158">
        <f t="shared" si="11"/>
        <v>0</v>
      </c>
      <c r="R90" s="165"/>
      <c r="S90" s="165"/>
      <c r="T90" s="158">
        <f t="shared" si="12"/>
        <v>0</v>
      </c>
      <c r="U90" s="165"/>
      <c r="V90" s="165"/>
      <c r="W90" s="180"/>
      <c r="X90" s="166"/>
      <c r="Y90" s="166"/>
    </row>
    <row r="91" spans="1:25" s="167" customFormat="1" ht="63">
      <c r="A91" s="285" t="s">
        <v>140</v>
      </c>
      <c r="B91" s="146" t="s">
        <v>141</v>
      </c>
      <c r="C91" s="285" t="s">
        <v>10</v>
      </c>
      <c r="D91" s="299"/>
      <c r="E91" s="158">
        <f t="shared" si="8"/>
        <v>0</v>
      </c>
      <c r="F91" s="165"/>
      <c r="G91" s="165"/>
      <c r="H91" s="158">
        <f aca="true" t="shared" si="14" ref="H91:H114">+I91+J91</f>
        <v>0</v>
      </c>
      <c r="I91" s="165"/>
      <c r="J91" s="165"/>
      <c r="K91" s="158">
        <f t="shared" si="9"/>
        <v>0</v>
      </c>
      <c r="L91" s="165"/>
      <c r="M91" s="165"/>
      <c r="N91" s="158">
        <f t="shared" si="10"/>
        <v>0</v>
      </c>
      <c r="O91" s="158">
        <f t="shared" si="10"/>
        <v>0</v>
      </c>
      <c r="P91" s="158">
        <f t="shared" si="10"/>
        <v>0</v>
      </c>
      <c r="Q91" s="158">
        <f t="shared" si="11"/>
        <v>0</v>
      </c>
      <c r="R91" s="165"/>
      <c r="S91" s="165"/>
      <c r="T91" s="158">
        <f t="shared" si="12"/>
        <v>0</v>
      </c>
      <c r="U91" s="165"/>
      <c r="V91" s="165"/>
      <c r="W91" s="180"/>
      <c r="X91" s="166"/>
      <c r="Y91" s="166"/>
    </row>
    <row r="92" spans="1:25" s="167" customFormat="1" ht="31.5">
      <c r="A92" s="285" t="s">
        <v>142</v>
      </c>
      <c r="B92" s="146" t="s">
        <v>143</v>
      </c>
      <c r="C92" s="285" t="s">
        <v>10</v>
      </c>
      <c r="D92" s="299"/>
      <c r="E92" s="158">
        <f t="shared" si="8"/>
        <v>98387.3</v>
      </c>
      <c r="F92" s="165">
        <v>98387.3</v>
      </c>
      <c r="G92" s="165"/>
      <c r="H92" s="158">
        <f t="shared" si="14"/>
        <v>102000</v>
      </c>
      <c r="I92" s="165">
        <v>102000</v>
      </c>
      <c r="J92" s="165"/>
      <c r="K92" s="158">
        <f t="shared" si="9"/>
        <v>110000</v>
      </c>
      <c r="L92" s="165">
        <v>110000</v>
      </c>
      <c r="M92" s="165"/>
      <c r="N92" s="158">
        <f t="shared" si="10"/>
        <v>8000</v>
      </c>
      <c r="O92" s="158">
        <f t="shared" si="10"/>
        <v>8000</v>
      </c>
      <c r="P92" s="158">
        <f t="shared" si="10"/>
        <v>0</v>
      </c>
      <c r="Q92" s="158">
        <f t="shared" si="11"/>
        <v>110000</v>
      </c>
      <c r="R92" s="165">
        <v>110000</v>
      </c>
      <c r="S92" s="165"/>
      <c r="T92" s="158">
        <f t="shared" si="12"/>
        <v>110000</v>
      </c>
      <c r="U92" s="165">
        <v>110000</v>
      </c>
      <c r="V92" s="165"/>
      <c r="W92" s="180"/>
      <c r="X92" s="166"/>
      <c r="Y92" s="166"/>
    </row>
    <row r="93" spans="1:25" s="167" customFormat="1" ht="84">
      <c r="A93" s="285" t="s">
        <v>144</v>
      </c>
      <c r="B93" s="146" t="s">
        <v>145</v>
      </c>
      <c r="C93" s="285" t="s">
        <v>10</v>
      </c>
      <c r="D93" s="299"/>
      <c r="E93" s="158">
        <f t="shared" si="8"/>
        <v>17133.6</v>
      </c>
      <c r="F93" s="165">
        <v>17133.6</v>
      </c>
      <c r="G93" s="165"/>
      <c r="H93" s="158">
        <f t="shared" si="14"/>
        <v>20900</v>
      </c>
      <c r="I93" s="165">
        <v>20900</v>
      </c>
      <c r="J93" s="165"/>
      <c r="K93" s="158">
        <f t="shared" si="9"/>
        <v>85500</v>
      </c>
      <c r="L93" s="165">
        <v>85500</v>
      </c>
      <c r="M93" s="165"/>
      <c r="N93" s="158">
        <f t="shared" si="10"/>
        <v>64600</v>
      </c>
      <c r="O93" s="158">
        <f t="shared" si="10"/>
        <v>64600</v>
      </c>
      <c r="P93" s="158">
        <f t="shared" si="10"/>
        <v>0</v>
      </c>
      <c r="Q93" s="158">
        <f t="shared" si="11"/>
        <v>85500</v>
      </c>
      <c r="R93" s="165">
        <v>85500</v>
      </c>
      <c r="S93" s="165"/>
      <c r="T93" s="158">
        <f t="shared" si="12"/>
        <v>85500</v>
      </c>
      <c r="U93" s="165">
        <v>85500</v>
      </c>
      <c r="V93" s="165"/>
      <c r="W93" s="180"/>
      <c r="X93" s="166"/>
      <c r="Y93" s="166"/>
    </row>
    <row r="94" spans="1:25" s="167" customFormat="1" ht="52.5">
      <c r="A94" s="285" t="s">
        <v>146</v>
      </c>
      <c r="B94" s="146" t="s">
        <v>147</v>
      </c>
      <c r="C94" s="285" t="s">
        <v>10</v>
      </c>
      <c r="D94" s="299"/>
      <c r="E94" s="158">
        <f t="shared" si="8"/>
        <v>0</v>
      </c>
      <c r="F94" s="165"/>
      <c r="G94" s="165"/>
      <c r="H94" s="158">
        <f t="shared" si="14"/>
        <v>0</v>
      </c>
      <c r="I94" s="165"/>
      <c r="J94" s="165"/>
      <c r="K94" s="158">
        <f t="shared" si="9"/>
        <v>0</v>
      </c>
      <c r="L94" s="165"/>
      <c r="M94" s="165"/>
      <c r="N94" s="158">
        <f t="shared" si="10"/>
        <v>0</v>
      </c>
      <c r="O94" s="158">
        <f t="shared" si="10"/>
        <v>0</v>
      </c>
      <c r="P94" s="158">
        <f t="shared" si="10"/>
        <v>0</v>
      </c>
      <c r="Q94" s="158">
        <f t="shared" si="11"/>
        <v>0</v>
      </c>
      <c r="R94" s="165"/>
      <c r="S94" s="165"/>
      <c r="T94" s="158">
        <f t="shared" si="12"/>
        <v>0</v>
      </c>
      <c r="U94" s="165"/>
      <c r="V94" s="165"/>
      <c r="W94" s="180"/>
      <c r="X94" s="166"/>
      <c r="Y94" s="166"/>
    </row>
    <row r="95" spans="1:25" s="167" customFormat="1" ht="94.5">
      <c r="A95" s="285" t="s">
        <v>148</v>
      </c>
      <c r="B95" s="146" t="s">
        <v>149</v>
      </c>
      <c r="C95" s="285" t="s">
        <v>10</v>
      </c>
      <c r="D95" s="299"/>
      <c r="E95" s="158">
        <f t="shared" si="8"/>
        <v>0</v>
      </c>
      <c r="F95" s="165"/>
      <c r="G95" s="165"/>
      <c r="H95" s="158">
        <f t="shared" si="14"/>
        <v>0</v>
      </c>
      <c r="I95" s="165"/>
      <c r="J95" s="165"/>
      <c r="K95" s="158">
        <f t="shared" si="9"/>
        <v>0</v>
      </c>
      <c r="L95" s="165"/>
      <c r="M95" s="165"/>
      <c r="N95" s="158">
        <f t="shared" si="10"/>
        <v>0</v>
      </c>
      <c r="O95" s="158">
        <f t="shared" si="10"/>
        <v>0</v>
      </c>
      <c r="P95" s="158">
        <f t="shared" si="10"/>
        <v>0</v>
      </c>
      <c r="Q95" s="158">
        <f t="shared" si="11"/>
        <v>0</v>
      </c>
      <c r="R95" s="165"/>
      <c r="S95" s="165"/>
      <c r="T95" s="158">
        <f t="shared" si="12"/>
        <v>0</v>
      </c>
      <c r="U95" s="165"/>
      <c r="V95" s="165"/>
      <c r="W95" s="180"/>
      <c r="X95" s="166"/>
      <c r="Y95" s="166"/>
    </row>
    <row r="96" spans="1:25" s="167" customFormat="1" ht="21">
      <c r="A96" s="285" t="s">
        <v>150</v>
      </c>
      <c r="B96" s="146" t="s">
        <v>151</v>
      </c>
      <c r="C96" s="285" t="s">
        <v>10</v>
      </c>
      <c r="D96" s="299"/>
      <c r="E96" s="158">
        <f t="shared" si="8"/>
        <v>35</v>
      </c>
      <c r="F96" s="165">
        <v>35</v>
      </c>
      <c r="G96" s="165"/>
      <c r="H96" s="158">
        <f t="shared" si="14"/>
        <v>0</v>
      </c>
      <c r="I96" s="165"/>
      <c r="J96" s="165"/>
      <c r="K96" s="158">
        <f t="shared" si="9"/>
        <v>0</v>
      </c>
      <c r="L96" s="165"/>
      <c r="M96" s="165"/>
      <c r="N96" s="158">
        <f t="shared" si="10"/>
        <v>0</v>
      </c>
      <c r="O96" s="158">
        <f t="shared" si="10"/>
        <v>0</v>
      </c>
      <c r="P96" s="158">
        <f t="shared" si="10"/>
        <v>0</v>
      </c>
      <c r="Q96" s="158">
        <f t="shared" si="11"/>
        <v>0</v>
      </c>
      <c r="R96" s="165"/>
      <c r="S96" s="165"/>
      <c r="T96" s="158">
        <f t="shared" si="12"/>
        <v>0</v>
      </c>
      <c r="U96" s="165"/>
      <c r="V96" s="165"/>
      <c r="W96" s="180"/>
      <c r="X96" s="166"/>
      <c r="Y96" s="166"/>
    </row>
    <row r="97" spans="1:25" s="167" customFormat="1" ht="31.5">
      <c r="A97" s="285" t="s">
        <v>152</v>
      </c>
      <c r="B97" s="146" t="s">
        <v>153</v>
      </c>
      <c r="C97" s="285" t="s">
        <v>10</v>
      </c>
      <c r="D97" s="299"/>
      <c r="E97" s="158">
        <f t="shared" si="8"/>
        <v>0</v>
      </c>
      <c r="F97" s="165"/>
      <c r="G97" s="165"/>
      <c r="H97" s="158">
        <f t="shared" si="14"/>
        <v>0</v>
      </c>
      <c r="I97" s="165"/>
      <c r="J97" s="165"/>
      <c r="K97" s="158">
        <f t="shared" si="9"/>
        <v>0</v>
      </c>
      <c r="L97" s="165"/>
      <c r="M97" s="165"/>
      <c r="N97" s="158">
        <f t="shared" si="10"/>
        <v>0</v>
      </c>
      <c r="O97" s="158">
        <f t="shared" si="10"/>
        <v>0</v>
      </c>
      <c r="P97" s="158">
        <f t="shared" si="10"/>
        <v>0</v>
      </c>
      <c r="Q97" s="158">
        <f t="shared" si="11"/>
        <v>0</v>
      </c>
      <c r="R97" s="165"/>
      <c r="S97" s="165"/>
      <c r="T97" s="158">
        <f t="shared" si="12"/>
        <v>0</v>
      </c>
      <c r="U97" s="165"/>
      <c r="V97" s="165"/>
      <c r="W97" s="180"/>
      <c r="X97" s="166"/>
      <c r="Y97" s="166"/>
    </row>
    <row r="98" spans="1:25" s="167" customFormat="1" ht="12.75">
      <c r="A98" s="285" t="s">
        <v>154</v>
      </c>
      <c r="B98" s="146" t="s">
        <v>155</v>
      </c>
      <c r="C98" s="285" t="s">
        <v>10</v>
      </c>
      <c r="D98" s="299"/>
      <c r="E98" s="158">
        <f t="shared" si="8"/>
        <v>0</v>
      </c>
      <c r="F98" s="165"/>
      <c r="G98" s="165"/>
      <c r="H98" s="158">
        <f t="shared" si="14"/>
        <v>0</v>
      </c>
      <c r="I98" s="165"/>
      <c r="J98" s="165"/>
      <c r="K98" s="158">
        <f t="shared" si="9"/>
        <v>0</v>
      </c>
      <c r="L98" s="165"/>
      <c r="M98" s="165"/>
      <c r="N98" s="158">
        <f t="shared" si="10"/>
        <v>0</v>
      </c>
      <c r="O98" s="158">
        <f t="shared" si="10"/>
        <v>0</v>
      </c>
      <c r="P98" s="158">
        <f t="shared" si="10"/>
        <v>0</v>
      </c>
      <c r="Q98" s="158">
        <f t="shared" si="11"/>
        <v>0</v>
      </c>
      <c r="R98" s="165"/>
      <c r="S98" s="165"/>
      <c r="T98" s="158">
        <f t="shared" si="12"/>
        <v>0</v>
      </c>
      <c r="U98" s="165"/>
      <c r="V98" s="165"/>
      <c r="W98" s="180"/>
      <c r="X98" s="166"/>
      <c r="Y98" s="166"/>
    </row>
    <row r="99" spans="1:25" s="167" customFormat="1" ht="42">
      <c r="A99" s="285" t="s">
        <v>156</v>
      </c>
      <c r="B99" s="146" t="s">
        <v>157</v>
      </c>
      <c r="C99" s="285" t="s">
        <v>10</v>
      </c>
      <c r="D99" s="300"/>
      <c r="E99" s="158">
        <f t="shared" si="8"/>
        <v>192931.1</v>
      </c>
      <c r="F99" s="165">
        <v>192931.1</v>
      </c>
      <c r="G99" s="165"/>
      <c r="H99" s="158">
        <f t="shared" si="14"/>
        <v>86400</v>
      </c>
      <c r="I99" s="165">
        <v>86400</v>
      </c>
      <c r="J99" s="165"/>
      <c r="K99" s="158">
        <f t="shared" si="9"/>
        <v>150000</v>
      </c>
      <c r="L99" s="165">
        <v>150000</v>
      </c>
      <c r="M99" s="165"/>
      <c r="N99" s="158">
        <f t="shared" si="10"/>
        <v>63600</v>
      </c>
      <c r="O99" s="158">
        <f t="shared" si="10"/>
        <v>63600</v>
      </c>
      <c r="P99" s="158">
        <f t="shared" si="10"/>
        <v>0</v>
      </c>
      <c r="Q99" s="158">
        <f t="shared" si="11"/>
        <v>150000</v>
      </c>
      <c r="R99" s="165">
        <v>150000</v>
      </c>
      <c r="S99" s="165"/>
      <c r="T99" s="158">
        <f t="shared" si="12"/>
        <v>150000</v>
      </c>
      <c r="U99" s="165">
        <v>150000</v>
      </c>
      <c r="V99" s="165"/>
      <c r="W99" s="180"/>
      <c r="X99" s="166"/>
      <c r="Y99" s="166"/>
    </row>
    <row r="100" spans="1:25" s="160" customFormat="1" ht="42">
      <c r="A100" s="284" t="s">
        <v>158</v>
      </c>
      <c r="B100" s="145" t="s">
        <v>186</v>
      </c>
      <c r="C100" s="284" t="s">
        <v>159</v>
      </c>
      <c r="D100" s="284"/>
      <c r="E100" s="158">
        <f t="shared" si="8"/>
        <v>20840</v>
      </c>
      <c r="F100" s="158">
        <f>+F102+F103</f>
        <v>20840</v>
      </c>
      <c r="G100" s="158">
        <f>+G102+G103</f>
        <v>0</v>
      </c>
      <c r="H100" s="158">
        <f t="shared" si="14"/>
        <v>21000</v>
      </c>
      <c r="I100" s="158">
        <f>+I102+I103</f>
        <v>21000</v>
      </c>
      <c r="J100" s="158">
        <f>+J102+J103</f>
        <v>0</v>
      </c>
      <c r="K100" s="158">
        <f t="shared" si="9"/>
        <v>15000</v>
      </c>
      <c r="L100" s="158">
        <f>+L102+L103</f>
        <v>15000</v>
      </c>
      <c r="M100" s="158">
        <f>+M102+M103</f>
        <v>0</v>
      </c>
      <c r="N100" s="158">
        <f t="shared" si="10"/>
        <v>-6000</v>
      </c>
      <c r="O100" s="158">
        <f t="shared" si="10"/>
        <v>-6000</v>
      </c>
      <c r="P100" s="158">
        <f t="shared" si="10"/>
        <v>0</v>
      </c>
      <c r="Q100" s="158">
        <f t="shared" si="11"/>
        <v>15000</v>
      </c>
      <c r="R100" s="158">
        <f>+R102+R103</f>
        <v>15000</v>
      </c>
      <c r="S100" s="158">
        <f>+S102+S103</f>
        <v>0</v>
      </c>
      <c r="T100" s="158">
        <f t="shared" si="12"/>
        <v>15000</v>
      </c>
      <c r="U100" s="158">
        <f>+U102+U103</f>
        <v>15000</v>
      </c>
      <c r="V100" s="158">
        <f>+V102+V103</f>
        <v>0</v>
      </c>
      <c r="W100" s="180"/>
      <c r="X100" s="159"/>
      <c r="Y100" s="159"/>
    </row>
    <row r="101" spans="1:25" s="167" customFormat="1" ht="12.75">
      <c r="A101" s="285"/>
      <c r="B101" s="146" t="s">
        <v>5</v>
      </c>
      <c r="C101" s="285"/>
      <c r="D101" s="285"/>
      <c r="E101" s="158">
        <f t="shared" si="8"/>
        <v>0</v>
      </c>
      <c r="F101" s="165"/>
      <c r="G101" s="165"/>
      <c r="H101" s="158">
        <f t="shared" si="14"/>
        <v>0</v>
      </c>
      <c r="I101" s="165"/>
      <c r="J101" s="165"/>
      <c r="K101" s="158">
        <f t="shared" si="9"/>
        <v>0</v>
      </c>
      <c r="L101" s="165"/>
      <c r="M101" s="165"/>
      <c r="N101" s="158">
        <f t="shared" si="10"/>
        <v>0</v>
      </c>
      <c r="O101" s="158">
        <f t="shared" si="10"/>
        <v>0</v>
      </c>
      <c r="P101" s="158">
        <f t="shared" si="10"/>
        <v>0</v>
      </c>
      <c r="Q101" s="158">
        <f t="shared" si="11"/>
        <v>0</v>
      </c>
      <c r="R101" s="165"/>
      <c r="S101" s="165"/>
      <c r="T101" s="158">
        <f t="shared" si="12"/>
        <v>0</v>
      </c>
      <c r="U101" s="165"/>
      <c r="V101" s="165"/>
      <c r="W101" s="180"/>
      <c r="X101" s="166"/>
      <c r="Y101" s="166"/>
    </row>
    <row r="102" spans="1:25" s="167" customFormat="1" ht="52.5">
      <c r="A102" s="285" t="s">
        <v>160</v>
      </c>
      <c r="B102" s="146" t="s">
        <v>161</v>
      </c>
      <c r="C102" s="285" t="s">
        <v>10</v>
      </c>
      <c r="D102" s="285"/>
      <c r="E102" s="158">
        <f t="shared" si="8"/>
        <v>20840</v>
      </c>
      <c r="F102" s="165">
        <v>20840</v>
      </c>
      <c r="G102" s="165"/>
      <c r="H102" s="158">
        <f t="shared" si="14"/>
        <v>21000</v>
      </c>
      <c r="I102" s="165">
        <v>21000</v>
      </c>
      <c r="J102" s="165"/>
      <c r="K102" s="158">
        <f t="shared" si="9"/>
        <v>15000</v>
      </c>
      <c r="L102" s="165">
        <v>15000</v>
      </c>
      <c r="M102" s="165"/>
      <c r="N102" s="158">
        <f t="shared" si="10"/>
        <v>-6000</v>
      </c>
      <c r="O102" s="158">
        <f t="shared" si="10"/>
        <v>-6000</v>
      </c>
      <c r="P102" s="158">
        <f t="shared" si="10"/>
        <v>0</v>
      </c>
      <c r="Q102" s="158">
        <f t="shared" si="11"/>
        <v>15000</v>
      </c>
      <c r="R102" s="165">
        <v>15000</v>
      </c>
      <c r="S102" s="165"/>
      <c r="T102" s="158">
        <f t="shared" si="12"/>
        <v>15000</v>
      </c>
      <c r="U102" s="165">
        <v>15000</v>
      </c>
      <c r="V102" s="165"/>
      <c r="W102" s="180"/>
      <c r="X102" s="166"/>
      <c r="Y102" s="166"/>
    </row>
    <row r="103" spans="1:25" s="167" customFormat="1" ht="63">
      <c r="A103" s="285" t="s">
        <v>162</v>
      </c>
      <c r="B103" s="146" t="s">
        <v>163</v>
      </c>
      <c r="C103" s="285" t="s">
        <v>10</v>
      </c>
      <c r="D103" s="285"/>
      <c r="E103" s="158">
        <f t="shared" si="8"/>
        <v>0</v>
      </c>
      <c r="F103" s="165"/>
      <c r="G103" s="165"/>
      <c r="H103" s="158">
        <f t="shared" si="14"/>
        <v>0</v>
      </c>
      <c r="I103" s="165"/>
      <c r="J103" s="165"/>
      <c r="K103" s="158">
        <f t="shared" si="9"/>
        <v>0</v>
      </c>
      <c r="L103" s="165"/>
      <c r="M103" s="165"/>
      <c r="N103" s="158">
        <f t="shared" si="10"/>
        <v>0</v>
      </c>
      <c r="O103" s="158">
        <f t="shared" si="10"/>
        <v>0</v>
      </c>
      <c r="P103" s="158">
        <f t="shared" si="10"/>
        <v>0</v>
      </c>
      <c r="Q103" s="158">
        <f t="shared" si="11"/>
        <v>0</v>
      </c>
      <c r="R103" s="165"/>
      <c r="S103" s="165"/>
      <c r="T103" s="158">
        <f t="shared" si="12"/>
        <v>0</v>
      </c>
      <c r="U103" s="165"/>
      <c r="V103" s="165"/>
      <c r="W103" s="180"/>
      <c r="X103" s="166"/>
      <c r="Y103" s="166"/>
    </row>
    <row r="104" spans="1:25" s="160" customFormat="1" ht="42">
      <c r="A104" s="284" t="s">
        <v>164</v>
      </c>
      <c r="B104" s="145" t="s">
        <v>165</v>
      </c>
      <c r="C104" s="284" t="s">
        <v>166</v>
      </c>
      <c r="D104" s="284"/>
      <c r="E104" s="158">
        <f t="shared" si="8"/>
        <v>331</v>
      </c>
      <c r="F104" s="158">
        <f>+F106</f>
        <v>331</v>
      </c>
      <c r="G104" s="158">
        <f>+G106</f>
        <v>0</v>
      </c>
      <c r="H104" s="158">
        <f t="shared" si="14"/>
        <v>0</v>
      </c>
      <c r="I104" s="158">
        <f>+I106</f>
        <v>0</v>
      </c>
      <c r="J104" s="158">
        <f>+J106</f>
        <v>0</v>
      </c>
      <c r="K104" s="158">
        <f t="shared" si="9"/>
        <v>0</v>
      </c>
      <c r="L104" s="158">
        <f>+L106</f>
        <v>0</v>
      </c>
      <c r="M104" s="158">
        <f>+M106</f>
        <v>0</v>
      </c>
      <c r="N104" s="158">
        <f t="shared" si="10"/>
        <v>0</v>
      </c>
      <c r="O104" s="158">
        <f t="shared" si="10"/>
        <v>0</v>
      </c>
      <c r="P104" s="158">
        <f t="shared" si="10"/>
        <v>0</v>
      </c>
      <c r="Q104" s="158">
        <f t="shared" si="11"/>
        <v>0</v>
      </c>
      <c r="R104" s="158">
        <f>+R106</f>
        <v>0</v>
      </c>
      <c r="S104" s="158">
        <f>+S106</f>
        <v>0</v>
      </c>
      <c r="T104" s="158">
        <f t="shared" si="12"/>
        <v>0</v>
      </c>
      <c r="U104" s="158">
        <f>+U106</f>
        <v>0</v>
      </c>
      <c r="V104" s="158">
        <f>+V106</f>
        <v>0</v>
      </c>
      <c r="W104" s="180"/>
      <c r="X104" s="159"/>
      <c r="Y104" s="159"/>
    </row>
    <row r="105" spans="1:25" s="167" customFormat="1" ht="12.75">
      <c r="A105" s="285"/>
      <c r="B105" s="146" t="s">
        <v>5</v>
      </c>
      <c r="C105" s="285"/>
      <c r="D105" s="285"/>
      <c r="E105" s="158">
        <f t="shared" si="8"/>
        <v>0</v>
      </c>
      <c r="F105" s="165"/>
      <c r="G105" s="165"/>
      <c r="H105" s="158">
        <f t="shared" si="14"/>
        <v>0</v>
      </c>
      <c r="I105" s="165"/>
      <c r="J105" s="165"/>
      <c r="K105" s="158">
        <f t="shared" si="9"/>
        <v>0</v>
      </c>
      <c r="L105" s="165"/>
      <c r="M105" s="165"/>
      <c r="N105" s="158">
        <f t="shared" si="10"/>
        <v>0</v>
      </c>
      <c r="O105" s="158">
        <f t="shared" si="10"/>
        <v>0</v>
      </c>
      <c r="P105" s="158">
        <f t="shared" si="10"/>
        <v>0</v>
      </c>
      <c r="Q105" s="158">
        <f t="shared" si="11"/>
        <v>0</v>
      </c>
      <c r="R105" s="165"/>
      <c r="S105" s="165"/>
      <c r="T105" s="158">
        <f t="shared" si="12"/>
        <v>0</v>
      </c>
      <c r="U105" s="165"/>
      <c r="V105" s="165"/>
      <c r="W105" s="180"/>
      <c r="X105" s="166"/>
      <c r="Y105" s="166"/>
    </row>
    <row r="106" spans="1:25" s="167" customFormat="1" ht="94.5">
      <c r="A106" s="285" t="s">
        <v>167</v>
      </c>
      <c r="B106" s="146" t="s">
        <v>168</v>
      </c>
      <c r="C106" s="285" t="s">
        <v>10</v>
      </c>
      <c r="D106" s="285"/>
      <c r="E106" s="158">
        <f t="shared" si="8"/>
        <v>331</v>
      </c>
      <c r="F106" s="165">
        <v>331</v>
      </c>
      <c r="G106" s="165"/>
      <c r="H106" s="158">
        <f t="shared" si="14"/>
        <v>0</v>
      </c>
      <c r="I106" s="165"/>
      <c r="J106" s="165"/>
      <c r="K106" s="158">
        <f t="shared" si="9"/>
        <v>0</v>
      </c>
      <c r="L106" s="165"/>
      <c r="M106" s="165"/>
      <c r="N106" s="158">
        <f aca="true" t="shared" si="15" ref="N106:P114">+K106-H106</f>
        <v>0</v>
      </c>
      <c r="O106" s="158">
        <f t="shared" si="15"/>
        <v>0</v>
      </c>
      <c r="P106" s="158">
        <f t="shared" si="15"/>
        <v>0</v>
      </c>
      <c r="Q106" s="158">
        <f t="shared" si="11"/>
        <v>0</v>
      </c>
      <c r="R106" s="165"/>
      <c r="S106" s="165"/>
      <c r="T106" s="158">
        <f t="shared" si="12"/>
        <v>0</v>
      </c>
      <c r="U106" s="165"/>
      <c r="V106" s="165"/>
      <c r="W106" s="180"/>
      <c r="X106" s="166"/>
      <c r="Y106" s="166"/>
    </row>
    <row r="107" spans="1:25" s="160" customFormat="1" ht="52.5">
      <c r="A107" s="284" t="s">
        <v>169</v>
      </c>
      <c r="B107" s="145" t="s">
        <v>170</v>
      </c>
      <c r="C107" s="284" t="s">
        <v>171</v>
      </c>
      <c r="D107" s="284"/>
      <c r="E107" s="158">
        <f t="shared" si="8"/>
        <v>0</v>
      </c>
      <c r="F107" s="158">
        <f>+F109</f>
        <v>0</v>
      </c>
      <c r="G107" s="158">
        <f>+G109</f>
        <v>0</v>
      </c>
      <c r="H107" s="158">
        <f t="shared" si="14"/>
        <v>0</v>
      </c>
      <c r="I107" s="158">
        <f>+I109</f>
        <v>0</v>
      </c>
      <c r="J107" s="158">
        <f>+J109</f>
        <v>0</v>
      </c>
      <c r="K107" s="158">
        <f t="shared" si="9"/>
        <v>0</v>
      </c>
      <c r="L107" s="158">
        <f>+L109</f>
        <v>0</v>
      </c>
      <c r="M107" s="158">
        <f>+M109</f>
        <v>0</v>
      </c>
      <c r="N107" s="158">
        <f t="shared" si="15"/>
        <v>0</v>
      </c>
      <c r="O107" s="158">
        <f t="shared" si="15"/>
        <v>0</v>
      </c>
      <c r="P107" s="158">
        <f t="shared" si="15"/>
        <v>0</v>
      </c>
      <c r="Q107" s="158">
        <f t="shared" si="11"/>
        <v>0</v>
      </c>
      <c r="R107" s="158">
        <f>+R109</f>
        <v>0</v>
      </c>
      <c r="S107" s="158">
        <f>+S109</f>
        <v>0</v>
      </c>
      <c r="T107" s="158">
        <f t="shared" si="12"/>
        <v>0</v>
      </c>
      <c r="U107" s="158">
        <f>+U109</f>
        <v>0</v>
      </c>
      <c r="V107" s="158">
        <f>+V109</f>
        <v>0</v>
      </c>
      <c r="W107" s="180"/>
      <c r="X107" s="159"/>
      <c r="Y107" s="159"/>
    </row>
    <row r="108" spans="1:25" s="167" customFormat="1" ht="12.75">
      <c r="A108" s="285"/>
      <c r="B108" s="146" t="s">
        <v>5</v>
      </c>
      <c r="C108" s="285"/>
      <c r="D108" s="285"/>
      <c r="E108" s="158">
        <f t="shared" si="8"/>
        <v>0</v>
      </c>
      <c r="F108" s="165"/>
      <c r="G108" s="165"/>
      <c r="H108" s="158">
        <f t="shared" si="14"/>
        <v>0</v>
      </c>
      <c r="I108" s="165"/>
      <c r="J108" s="165"/>
      <c r="K108" s="158">
        <f t="shared" si="9"/>
        <v>0</v>
      </c>
      <c r="L108" s="165"/>
      <c r="M108" s="165"/>
      <c r="N108" s="158">
        <f t="shared" si="15"/>
        <v>0</v>
      </c>
      <c r="O108" s="158">
        <f t="shared" si="15"/>
        <v>0</v>
      </c>
      <c r="P108" s="158">
        <f t="shared" si="15"/>
        <v>0</v>
      </c>
      <c r="Q108" s="158">
        <f t="shared" si="11"/>
        <v>0</v>
      </c>
      <c r="R108" s="165"/>
      <c r="S108" s="165"/>
      <c r="T108" s="158">
        <f t="shared" si="12"/>
        <v>0</v>
      </c>
      <c r="U108" s="165"/>
      <c r="V108" s="165"/>
      <c r="W108" s="180"/>
      <c r="X108" s="166"/>
      <c r="Y108" s="166"/>
    </row>
    <row r="109" spans="1:25" s="167" customFormat="1" ht="105">
      <c r="A109" s="285" t="s">
        <v>172</v>
      </c>
      <c r="B109" s="146" t="s">
        <v>173</v>
      </c>
      <c r="C109" s="285"/>
      <c r="D109" s="285"/>
      <c r="E109" s="158">
        <f t="shared" si="8"/>
        <v>0</v>
      </c>
      <c r="F109" s="165"/>
      <c r="G109" s="165"/>
      <c r="H109" s="158">
        <f t="shared" si="14"/>
        <v>0</v>
      </c>
      <c r="I109" s="165"/>
      <c r="J109" s="165"/>
      <c r="K109" s="158">
        <f t="shared" si="9"/>
        <v>0</v>
      </c>
      <c r="L109" s="165"/>
      <c r="M109" s="165"/>
      <c r="N109" s="158">
        <f t="shared" si="15"/>
        <v>0</v>
      </c>
      <c r="O109" s="158">
        <f t="shared" si="15"/>
        <v>0</v>
      </c>
      <c r="P109" s="158">
        <f t="shared" si="15"/>
        <v>0</v>
      </c>
      <c r="Q109" s="158">
        <f t="shared" si="11"/>
        <v>0</v>
      </c>
      <c r="R109" s="165"/>
      <c r="S109" s="165"/>
      <c r="T109" s="158">
        <f t="shared" si="12"/>
        <v>0</v>
      </c>
      <c r="U109" s="165"/>
      <c r="V109" s="165"/>
      <c r="W109" s="180"/>
      <c r="X109" s="166"/>
      <c r="Y109" s="166"/>
    </row>
    <row r="110" spans="1:25" s="160" customFormat="1" ht="42">
      <c r="A110" s="284" t="s">
        <v>174</v>
      </c>
      <c r="B110" s="145" t="s">
        <v>175</v>
      </c>
      <c r="C110" s="284" t="s">
        <v>176</v>
      </c>
      <c r="D110" s="284"/>
      <c r="E110" s="158">
        <v>86450.5</v>
      </c>
      <c r="F110" s="158">
        <f>+F112+F113+F114</f>
        <v>86450.5</v>
      </c>
      <c r="G110" s="158">
        <f>+G112+G113+G114</f>
        <v>59064.2</v>
      </c>
      <c r="H110" s="158">
        <f t="shared" si="14"/>
        <v>112535</v>
      </c>
      <c r="I110" s="158">
        <f>+I112+I113+I114</f>
        <v>112535</v>
      </c>
      <c r="J110" s="158">
        <f>+J112+J113+J114</f>
        <v>0</v>
      </c>
      <c r="K110" s="158">
        <f t="shared" si="9"/>
        <v>110000</v>
      </c>
      <c r="L110" s="158">
        <f>+L112+L113+L114</f>
        <v>110000</v>
      </c>
      <c r="M110" s="158">
        <f>+M112+M113+M114</f>
        <v>0</v>
      </c>
      <c r="N110" s="158">
        <f t="shared" si="15"/>
        <v>-2535</v>
      </c>
      <c r="O110" s="158">
        <f t="shared" si="15"/>
        <v>-2535</v>
      </c>
      <c r="P110" s="158">
        <f t="shared" si="15"/>
        <v>0</v>
      </c>
      <c r="Q110" s="158">
        <f t="shared" si="11"/>
        <v>200549.8</v>
      </c>
      <c r="R110" s="158">
        <f>+R112+R113+R114</f>
        <v>200549.8</v>
      </c>
      <c r="S110" s="158">
        <f>+S112+S113+S114</f>
        <v>0</v>
      </c>
      <c r="T110" s="158">
        <f t="shared" si="12"/>
        <v>340523.5</v>
      </c>
      <c r="U110" s="158">
        <f>+U112+U113+U114</f>
        <v>340523.5</v>
      </c>
      <c r="V110" s="158">
        <f>+V112+V113+V114</f>
        <v>0</v>
      </c>
      <c r="W110" s="180"/>
      <c r="X110" s="159"/>
      <c r="Y110" s="159"/>
    </row>
    <row r="111" spans="1:25" s="167" customFormat="1" ht="12.75">
      <c r="A111" s="285"/>
      <c r="B111" s="146" t="s">
        <v>5</v>
      </c>
      <c r="C111" s="285"/>
      <c r="D111" s="285"/>
      <c r="E111" s="158">
        <f>+F111+G111</f>
        <v>0</v>
      </c>
      <c r="F111" s="165"/>
      <c r="G111" s="165"/>
      <c r="H111" s="158">
        <f t="shared" si="14"/>
        <v>0</v>
      </c>
      <c r="I111" s="165"/>
      <c r="J111" s="165"/>
      <c r="K111" s="158">
        <f t="shared" si="9"/>
        <v>0</v>
      </c>
      <c r="L111" s="165"/>
      <c r="M111" s="165"/>
      <c r="N111" s="158">
        <f t="shared" si="15"/>
        <v>0</v>
      </c>
      <c r="O111" s="158">
        <f t="shared" si="15"/>
        <v>0</v>
      </c>
      <c r="P111" s="158">
        <f t="shared" si="15"/>
        <v>0</v>
      </c>
      <c r="Q111" s="158">
        <f t="shared" si="11"/>
        <v>0</v>
      </c>
      <c r="R111" s="165"/>
      <c r="S111" s="165"/>
      <c r="T111" s="158">
        <f t="shared" si="12"/>
        <v>0</v>
      </c>
      <c r="U111" s="165"/>
      <c r="V111" s="165"/>
      <c r="W111" s="180"/>
      <c r="X111" s="166"/>
      <c r="Y111" s="166"/>
    </row>
    <row r="112" spans="1:25" s="167" customFormat="1" ht="31.5">
      <c r="A112" s="285" t="s">
        <v>177</v>
      </c>
      <c r="B112" s="146" t="s">
        <v>178</v>
      </c>
      <c r="C112" s="285" t="s">
        <v>10</v>
      </c>
      <c r="D112" s="285"/>
      <c r="E112" s="158">
        <f>+F112+G112</f>
        <v>0</v>
      </c>
      <c r="F112" s="165"/>
      <c r="G112" s="165"/>
      <c r="H112" s="158">
        <f t="shared" si="14"/>
        <v>0</v>
      </c>
      <c r="I112" s="165"/>
      <c r="J112" s="165"/>
      <c r="K112" s="158">
        <f t="shared" si="9"/>
        <v>0</v>
      </c>
      <c r="L112" s="165"/>
      <c r="M112" s="165"/>
      <c r="N112" s="158">
        <f t="shared" si="15"/>
        <v>0</v>
      </c>
      <c r="O112" s="158">
        <f t="shared" si="15"/>
        <v>0</v>
      </c>
      <c r="P112" s="158">
        <f t="shared" si="15"/>
        <v>0</v>
      </c>
      <c r="Q112" s="158">
        <f t="shared" si="11"/>
        <v>0</v>
      </c>
      <c r="R112" s="165"/>
      <c r="S112" s="165"/>
      <c r="T112" s="158">
        <f t="shared" si="12"/>
        <v>0</v>
      </c>
      <c r="U112" s="165"/>
      <c r="V112" s="165"/>
      <c r="W112" s="180"/>
      <c r="X112" s="166"/>
      <c r="Y112" s="166"/>
    </row>
    <row r="113" spans="1:25" s="167" customFormat="1" ht="31.5">
      <c r="A113" s="285" t="s">
        <v>179</v>
      </c>
      <c r="B113" s="146" t="s">
        <v>180</v>
      </c>
      <c r="C113" s="285" t="s">
        <v>10</v>
      </c>
      <c r="D113" s="285"/>
      <c r="E113" s="158">
        <f>+F113+G113</f>
        <v>59064.2</v>
      </c>
      <c r="F113" s="165"/>
      <c r="G113" s="165">
        <v>59064.2</v>
      </c>
      <c r="H113" s="158">
        <f t="shared" si="14"/>
        <v>0</v>
      </c>
      <c r="I113" s="165"/>
      <c r="J113" s="165"/>
      <c r="K113" s="158">
        <f t="shared" si="9"/>
        <v>0</v>
      </c>
      <c r="L113" s="165"/>
      <c r="M113" s="165"/>
      <c r="N113" s="158">
        <f t="shared" si="15"/>
        <v>0</v>
      </c>
      <c r="O113" s="158">
        <f t="shared" si="15"/>
        <v>0</v>
      </c>
      <c r="P113" s="158">
        <f t="shared" si="15"/>
        <v>0</v>
      </c>
      <c r="Q113" s="158">
        <f t="shared" si="11"/>
        <v>0</v>
      </c>
      <c r="R113" s="165"/>
      <c r="S113" s="165"/>
      <c r="T113" s="158">
        <f t="shared" si="12"/>
        <v>0</v>
      </c>
      <c r="U113" s="165"/>
      <c r="V113" s="165"/>
      <c r="W113" s="180"/>
      <c r="X113" s="166"/>
      <c r="Y113" s="166"/>
    </row>
    <row r="114" spans="1:25" s="167" customFormat="1" ht="42.75" thickBot="1">
      <c r="A114" s="285" t="s">
        <v>181</v>
      </c>
      <c r="B114" s="146" t="s">
        <v>182</v>
      </c>
      <c r="C114" s="285" t="s">
        <v>10</v>
      </c>
      <c r="D114" s="285"/>
      <c r="E114" s="158">
        <f>+F114+G114</f>
        <v>86450.5</v>
      </c>
      <c r="F114" s="165">
        <v>86450.5</v>
      </c>
      <c r="G114" s="165"/>
      <c r="H114" s="158">
        <f t="shared" si="14"/>
        <v>112535</v>
      </c>
      <c r="I114" s="174">
        <v>112535</v>
      </c>
      <c r="J114" s="174"/>
      <c r="K114" s="158">
        <f t="shared" si="9"/>
        <v>110000</v>
      </c>
      <c r="L114" s="174">
        <v>110000</v>
      </c>
      <c r="M114" s="174"/>
      <c r="N114" s="158">
        <f t="shared" si="15"/>
        <v>-2535</v>
      </c>
      <c r="O114" s="158">
        <f t="shared" si="15"/>
        <v>-2535</v>
      </c>
      <c r="P114" s="158">
        <f t="shared" si="15"/>
        <v>0</v>
      </c>
      <c r="Q114" s="158">
        <f t="shared" si="11"/>
        <v>200549.8</v>
      </c>
      <c r="R114" s="174">
        <v>200549.8</v>
      </c>
      <c r="S114" s="174"/>
      <c r="T114" s="158">
        <f t="shared" si="12"/>
        <v>340523.5</v>
      </c>
      <c r="U114" s="174">
        <v>340523.5</v>
      </c>
      <c r="V114" s="174"/>
      <c r="W114" s="182"/>
      <c r="X114" s="166"/>
      <c r="Y114" s="166"/>
    </row>
    <row r="115" spans="1:25" ht="12.75">
      <c r="A115" s="151"/>
      <c r="B115" s="152"/>
      <c r="C115" s="151"/>
      <c r="D115" s="151"/>
      <c r="E115" s="153"/>
      <c r="F115" s="153"/>
      <c r="G115" s="153"/>
      <c r="H115" s="153"/>
      <c r="I115" s="153"/>
      <c r="J115" s="153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183"/>
      <c r="X115" s="147"/>
      <c r="Y115" s="147"/>
    </row>
    <row r="116" spans="1:25" ht="12.75">
      <c r="A116" s="151"/>
      <c r="B116" s="152"/>
      <c r="C116" s="151"/>
      <c r="D116" s="151"/>
      <c r="E116" s="153"/>
      <c r="F116" s="153"/>
      <c r="G116" s="153"/>
      <c r="H116" s="153"/>
      <c r="I116" s="153"/>
      <c r="J116" s="153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183"/>
      <c r="X116" s="147"/>
      <c r="Y116" s="147"/>
    </row>
    <row r="117" spans="1:22" ht="12.75">
      <c r="A117" s="151"/>
      <c r="B117" s="152"/>
      <c r="C117" s="151"/>
      <c r="D117" s="151"/>
      <c r="E117" s="151"/>
      <c r="F117" s="151"/>
      <c r="G117" s="151"/>
      <c r="H117" s="151"/>
      <c r="I117" s="151"/>
      <c r="J117" s="151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</row>
  </sheetData>
  <sheetProtection/>
  <mergeCells count="35">
    <mergeCell ref="D40:D41"/>
    <mergeCell ref="D26:D39"/>
    <mergeCell ref="D70:D73"/>
    <mergeCell ref="D82:D99"/>
    <mergeCell ref="D6:D8"/>
    <mergeCell ref="D14:D21"/>
    <mergeCell ref="D24:D25"/>
    <mergeCell ref="U1:W1"/>
    <mergeCell ref="A4:V4"/>
    <mergeCell ref="A6:A8"/>
    <mergeCell ref="B6:B8"/>
    <mergeCell ref="C6:C8"/>
    <mergeCell ref="E6:G6"/>
    <mergeCell ref="H6:J6"/>
    <mergeCell ref="K6:M6"/>
    <mergeCell ref="N6:P6"/>
    <mergeCell ref="Q6:S6"/>
    <mergeCell ref="T6:V6"/>
    <mergeCell ref="E7:E8"/>
    <mergeCell ref="F7:G7"/>
    <mergeCell ref="H7:H8"/>
    <mergeCell ref="I7:J7"/>
    <mergeCell ref="K7:K8"/>
    <mergeCell ref="L7:M7"/>
    <mergeCell ref="N7:N8"/>
    <mergeCell ref="O7:P7"/>
    <mergeCell ref="Q7:Q8"/>
    <mergeCell ref="W42:W44"/>
    <mergeCell ref="W63:W65"/>
    <mergeCell ref="R7:S7"/>
    <mergeCell ref="T7:T8"/>
    <mergeCell ref="U7:V7"/>
    <mergeCell ref="W7:W8"/>
    <mergeCell ref="W12:W21"/>
    <mergeCell ref="W22:W24"/>
  </mergeCells>
  <printOptions/>
  <pageMargins left="0" right="0" top="0.1968503937007874" bottom="0.1968503937007874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184"/>
  <sheetViews>
    <sheetView zoomScale="120" zoomScaleNormal="120" zoomScalePageLayoutView="0" workbookViewId="0" topLeftCell="A1">
      <selection activeCell="A4" sqref="A4:X4"/>
    </sheetView>
  </sheetViews>
  <sheetFormatPr defaultColWidth="9.140625" defaultRowHeight="12"/>
  <cols>
    <col min="1" max="1" width="5.140625" style="243" customWidth="1"/>
    <col min="2" max="4" width="2.8515625" style="243" customWidth="1"/>
    <col min="5" max="5" width="36.140625" style="234" customWidth="1"/>
    <col min="6" max="7" width="11.28125" style="234" customWidth="1"/>
    <col min="8" max="8" width="12.7109375" style="234" customWidth="1"/>
    <col min="9" max="11" width="11.28125" style="234" customWidth="1"/>
    <col min="12" max="12" width="13.140625" style="244" customWidth="1"/>
    <col min="13" max="13" width="13.28125" style="245" customWidth="1"/>
    <col min="14" max="14" width="9.8515625" style="245" customWidth="1"/>
    <col min="15" max="15" width="12.28125" style="244" customWidth="1"/>
    <col min="16" max="16" width="10.421875" style="244" customWidth="1"/>
    <col min="17" max="17" width="10.7109375" style="244" customWidth="1"/>
    <col min="18" max="18" width="12.28125" style="244" customWidth="1"/>
    <col min="19" max="19" width="10.421875" style="244" customWidth="1"/>
    <col min="20" max="20" width="12.8515625" style="244" customWidth="1"/>
    <col min="21" max="21" width="13.140625" style="244" customWidth="1"/>
    <col min="22" max="22" width="12.8515625" style="244" customWidth="1"/>
    <col min="23" max="23" width="10.8515625" style="244" customWidth="1"/>
    <col min="24" max="24" width="14.140625" style="234" customWidth="1"/>
    <col min="25" max="16384" width="9.140625" style="234" customWidth="1"/>
  </cols>
  <sheetData>
    <row r="2" spans="1:24" s="138" customFormat="1" ht="66.75" customHeight="1">
      <c r="A2" s="136"/>
      <c r="B2" s="137"/>
      <c r="C2" s="136"/>
      <c r="D2" s="136"/>
      <c r="E2" s="136"/>
      <c r="F2" s="136"/>
      <c r="G2" s="136"/>
      <c r="H2" s="136"/>
      <c r="I2" s="136"/>
      <c r="J2" s="136"/>
      <c r="K2" s="84"/>
      <c r="L2" s="84"/>
      <c r="M2" s="85"/>
      <c r="N2" s="85"/>
      <c r="O2" s="85"/>
      <c r="P2" s="85"/>
      <c r="Q2" s="84"/>
      <c r="R2" s="84"/>
      <c r="S2" s="85"/>
      <c r="T2" s="84"/>
      <c r="U2" s="200" t="s">
        <v>753</v>
      </c>
      <c r="V2" s="200"/>
      <c r="W2" s="200"/>
      <c r="X2" s="200"/>
    </row>
    <row r="3" spans="12:23" ht="12.75" customHeight="1">
      <c r="L3" s="234"/>
      <c r="M3" s="138"/>
      <c r="N3" s="138"/>
      <c r="O3" s="234"/>
      <c r="P3" s="234"/>
      <c r="Q3" s="234"/>
      <c r="R3" s="234"/>
      <c r="S3" s="234"/>
      <c r="T3" s="234"/>
      <c r="U3" s="234"/>
      <c r="V3" s="234"/>
      <c r="W3" s="234"/>
    </row>
    <row r="4" spans="1:24" ht="60" customHeight="1">
      <c r="A4" s="213" t="s">
        <v>761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</row>
    <row r="5" ht="20.25" customHeight="1" thickBot="1">
      <c r="X5" s="246"/>
    </row>
    <row r="6" spans="1:24" s="233" customFormat="1" ht="19.5" customHeight="1">
      <c r="A6" s="235" t="s">
        <v>1</v>
      </c>
      <c r="B6" s="303" t="s">
        <v>187</v>
      </c>
      <c r="C6" s="303" t="s">
        <v>188</v>
      </c>
      <c r="D6" s="303" t="s">
        <v>189</v>
      </c>
      <c r="E6" s="206" t="s">
        <v>190</v>
      </c>
      <c r="F6" s="223" t="s">
        <v>600</v>
      </c>
      <c r="G6" s="223"/>
      <c r="H6" s="223"/>
      <c r="I6" s="223" t="s">
        <v>601</v>
      </c>
      <c r="J6" s="223"/>
      <c r="K6" s="223"/>
      <c r="L6" s="223" t="s">
        <v>183</v>
      </c>
      <c r="M6" s="223"/>
      <c r="N6" s="223"/>
      <c r="O6" s="209" t="s">
        <v>602</v>
      </c>
      <c r="P6" s="210"/>
      <c r="Q6" s="211"/>
      <c r="R6" s="223" t="s">
        <v>184</v>
      </c>
      <c r="S6" s="223"/>
      <c r="T6" s="223"/>
      <c r="U6" s="223" t="s">
        <v>185</v>
      </c>
      <c r="V6" s="223"/>
      <c r="W6" s="209"/>
      <c r="X6" s="236" t="s">
        <v>603</v>
      </c>
    </row>
    <row r="7" spans="1:24" s="233" customFormat="1" ht="18" customHeight="1">
      <c r="A7" s="237"/>
      <c r="B7" s="304"/>
      <c r="C7" s="304"/>
      <c r="D7" s="304"/>
      <c r="E7" s="207"/>
      <c r="F7" s="207" t="s">
        <v>4</v>
      </c>
      <c r="G7" s="207" t="s">
        <v>5</v>
      </c>
      <c r="H7" s="207"/>
      <c r="I7" s="207" t="s">
        <v>4</v>
      </c>
      <c r="J7" s="207" t="s">
        <v>5</v>
      </c>
      <c r="K7" s="207"/>
      <c r="L7" s="207" t="s">
        <v>4</v>
      </c>
      <c r="M7" s="238" t="s">
        <v>5</v>
      </c>
      <c r="N7" s="238"/>
      <c r="O7" s="207" t="s">
        <v>4</v>
      </c>
      <c r="P7" s="207" t="s">
        <v>5</v>
      </c>
      <c r="Q7" s="207"/>
      <c r="R7" s="207" t="s">
        <v>4</v>
      </c>
      <c r="S7" s="207" t="s">
        <v>5</v>
      </c>
      <c r="T7" s="207"/>
      <c r="U7" s="207" t="s">
        <v>4</v>
      </c>
      <c r="V7" s="207" t="s">
        <v>5</v>
      </c>
      <c r="W7" s="239"/>
      <c r="X7" s="212" t="s">
        <v>604</v>
      </c>
    </row>
    <row r="8" spans="1:24" s="233" customFormat="1" ht="42.75" customHeight="1">
      <c r="A8" s="237"/>
      <c r="B8" s="304"/>
      <c r="C8" s="304"/>
      <c r="D8" s="304"/>
      <c r="E8" s="207"/>
      <c r="F8" s="207"/>
      <c r="G8" s="9" t="s">
        <v>6</v>
      </c>
      <c r="H8" s="9" t="s">
        <v>7</v>
      </c>
      <c r="I8" s="207"/>
      <c r="J8" s="9" t="s">
        <v>6</v>
      </c>
      <c r="K8" s="9" t="s">
        <v>7</v>
      </c>
      <c r="L8" s="207"/>
      <c r="M8" s="135" t="s">
        <v>6</v>
      </c>
      <c r="N8" s="135" t="s">
        <v>7</v>
      </c>
      <c r="O8" s="207"/>
      <c r="P8" s="9" t="s">
        <v>6</v>
      </c>
      <c r="Q8" s="9" t="s">
        <v>7</v>
      </c>
      <c r="R8" s="207"/>
      <c r="S8" s="9" t="s">
        <v>6</v>
      </c>
      <c r="T8" s="9" t="s">
        <v>7</v>
      </c>
      <c r="U8" s="207"/>
      <c r="V8" s="9" t="s">
        <v>6</v>
      </c>
      <c r="W8" s="36" t="s">
        <v>7</v>
      </c>
      <c r="X8" s="212"/>
    </row>
    <row r="9" spans="1:24" ht="10.5">
      <c r="A9" s="250">
        <v>1</v>
      </c>
      <c r="B9" s="247">
        <v>2</v>
      </c>
      <c r="C9" s="247">
        <v>3</v>
      </c>
      <c r="D9" s="247">
        <v>4</v>
      </c>
      <c r="E9" s="247">
        <v>5</v>
      </c>
      <c r="F9" s="247">
        <v>6</v>
      </c>
      <c r="G9" s="247">
        <v>7</v>
      </c>
      <c r="H9" s="247">
        <v>8</v>
      </c>
      <c r="I9" s="247">
        <v>9</v>
      </c>
      <c r="J9" s="247">
        <v>10</v>
      </c>
      <c r="K9" s="247">
        <v>11</v>
      </c>
      <c r="L9" s="247">
        <v>12</v>
      </c>
      <c r="M9" s="248">
        <v>13</v>
      </c>
      <c r="N9" s="248">
        <v>14</v>
      </c>
      <c r="O9" s="247">
        <v>6</v>
      </c>
      <c r="P9" s="247">
        <v>7</v>
      </c>
      <c r="Q9" s="247">
        <v>8</v>
      </c>
      <c r="R9" s="247">
        <v>9</v>
      </c>
      <c r="S9" s="247">
        <v>10</v>
      </c>
      <c r="T9" s="247">
        <v>11</v>
      </c>
      <c r="U9" s="247">
        <v>12</v>
      </c>
      <c r="V9" s="247">
        <v>13</v>
      </c>
      <c r="W9" s="249">
        <v>14</v>
      </c>
      <c r="X9" s="251">
        <v>15</v>
      </c>
    </row>
    <row r="10" spans="1:24" ht="10.5">
      <c r="A10" s="250" t="s">
        <v>10</v>
      </c>
      <c r="B10" s="247" t="s">
        <v>10</v>
      </c>
      <c r="C10" s="247" t="s">
        <v>10</v>
      </c>
      <c r="D10" s="247" t="s">
        <v>10</v>
      </c>
      <c r="E10" s="252" t="s">
        <v>191</v>
      </c>
      <c r="F10" s="253">
        <f>+G10+H10-59064.2</f>
        <v>3788579.1999999997</v>
      </c>
      <c r="G10" s="253">
        <f>+G11+G27+G35+G38+G62+G78+G96+G109+G130+G150+G164</f>
        <v>2754834.5</v>
      </c>
      <c r="H10" s="253">
        <f>+H11+H27+H35+H38+H62+H78+H96+H109+H130+H150+H164</f>
        <v>1092808.9</v>
      </c>
      <c r="I10" s="253">
        <f>+J10+K10</f>
        <v>4570651.2</v>
      </c>
      <c r="J10" s="253">
        <f>+J11+J27+J38+J62+J78+J96+J109+J130+J150+J164</f>
        <v>3150000</v>
      </c>
      <c r="K10" s="253">
        <f>+K11+K27+K38+K62+K78+K96+K109+K130+K150+K164</f>
        <v>1420651.2</v>
      </c>
      <c r="L10" s="253">
        <f>+M10+N10</f>
        <v>3810000</v>
      </c>
      <c r="M10" s="254">
        <f>+M11+M27+M38+M62+M78+M96+M109+M130+M150+M164</f>
        <v>3310000</v>
      </c>
      <c r="N10" s="254">
        <f>+N11+N27+N38+N62+N78+N96+N109+N130+N150+N164</f>
        <v>500000</v>
      </c>
      <c r="O10" s="253">
        <f>+L10-I10</f>
        <v>-760651.2000000002</v>
      </c>
      <c r="P10" s="253">
        <f>+M10-J10</f>
        <v>160000</v>
      </c>
      <c r="Q10" s="253">
        <f>+N10-K10</f>
        <v>-920651.2</v>
      </c>
      <c r="R10" s="253">
        <f>+S10+T10</f>
        <v>5048492</v>
      </c>
      <c r="S10" s="253">
        <f>+S11+S27+S38+S62+S78+S96+S109+S130+S150+S164</f>
        <v>3311492</v>
      </c>
      <c r="T10" s="253">
        <f>+T11+T27+T38+T62+T78+T96+T109+T130+T150+T164</f>
        <v>1737000</v>
      </c>
      <c r="U10" s="253">
        <f>+V10+W10</f>
        <v>5447120</v>
      </c>
      <c r="V10" s="253">
        <f>+V11+V27+V38+V62+V78+V96+V109+V130+V150+V164</f>
        <v>3324620</v>
      </c>
      <c r="W10" s="253">
        <f>+W11+W27+W38+W62+W78+W96+W109+W130+W150+W164</f>
        <v>2122500</v>
      </c>
      <c r="X10" s="240"/>
    </row>
    <row r="11" spans="1:24" ht="31.5">
      <c r="A11" s="250" t="s">
        <v>192</v>
      </c>
      <c r="B11" s="247" t="s">
        <v>193</v>
      </c>
      <c r="C11" s="247" t="s">
        <v>194</v>
      </c>
      <c r="D11" s="247" t="s">
        <v>194</v>
      </c>
      <c r="E11" s="252" t="s">
        <v>195</v>
      </c>
      <c r="F11" s="253">
        <f aca="true" t="shared" si="0" ref="F11:F81">+G11+H11</f>
        <v>838756.8</v>
      </c>
      <c r="G11" s="253">
        <f>+G13+G17+G21+G24</f>
        <v>781132.4</v>
      </c>
      <c r="H11" s="253">
        <f>+H13+H17+H21+H24</f>
        <v>57624.399999999994</v>
      </c>
      <c r="I11" s="253">
        <f aca="true" t="shared" si="1" ref="I11:I81">+J11+K11</f>
        <v>1110512.6</v>
      </c>
      <c r="J11" s="253">
        <f aca="true" t="shared" si="2" ref="J11:W11">+J13+J17+J21+J24</f>
        <v>956656.3</v>
      </c>
      <c r="K11" s="253">
        <f t="shared" si="2"/>
        <v>153856.3</v>
      </c>
      <c r="L11" s="253">
        <f aca="true" t="shared" si="3" ref="L11:L81">+M11+N11</f>
        <v>1286374</v>
      </c>
      <c r="M11" s="254">
        <f t="shared" si="2"/>
        <v>941500</v>
      </c>
      <c r="N11" s="254">
        <f t="shared" si="2"/>
        <v>344874</v>
      </c>
      <c r="O11" s="253">
        <f aca="true" t="shared" si="4" ref="O11:O74">+L11-I11</f>
        <v>175861.3999999999</v>
      </c>
      <c r="P11" s="253">
        <f aca="true" t="shared" si="5" ref="P11:P74">+M11-J11</f>
        <v>-15156.300000000047</v>
      </c>
      <c r="Q11" s="253">
        <f aca="true" t="shared" si="6" ref="Q11:Q74">+N11-K11</f>
        <v>191017.7</v>
      </c>
      <c r="R11" s="253">
        <f aca="true" t="shared" si="7" ref="R11:R81">+S11+T11</f>
        <v>981500</v>
      </c>
      <c r="S11" s="253">
        <f t="shared" si="2"/>
        <v>941500</v>
      </c>
      <c r="T11" s="253">
        <f t="shared" si="2"/>
        <v>40000</v>
      </c>
      <c r="U11" s="253">
        <f aca="true" t="shared" si="8" ref="U11:U81">+V11+W11</f>
        <v>1020000</v>
      </c>
      <c r="V11" s="253">
        <f t="shared" si="2"/>
        <v>960000</v>
      </c>
      <c r="W11" s="253">
        <f t="shared" si="2"/>
        <v>60000</v>
      </c>
      <c r="X11" s="240"/>
    </row>
    <row r="12" spans="1:24" ht="10.5">
      <c r="A12" s="250"/>
      <c r="B12" s="247"/>
      <c r="C12" s="247"/>
      <c r="D12" s="247"/>
      <c r="E12" s="255" t="s">
        <v>5</v>
      </c>
      <c r="F12" s="253"/>
      <c r="G12" s="256"/>
      <c r="H12" s="256"/>
      <c r="I12" s="253"/>
      <c r="J12" s="256"/>
      <c r="K12" s="256"/>
      <c r="L12" s="253">
        <f t="shared" si="3"/>
        <v>0</v>
      </c>
      <c r="M12" s="257"/>
      <c r="N12" s="257"/>
      <c r="O12" s="253">
        <f t="shared" si="4"/>
        <v>0</v>
      </c>
      <c r="P12" s="253">
        <f t="shared" si="5"/>
        <v>0</v>
      </c>
      <c r="Q12" s="253">
        <f t="shared" si="6"/>
        <v>0</v>
      </c>
      <c r="R12" s="253">
        <f t="shared" si="7"/>
        <v>0</v>
      </c>
      <c r="S12" s="256"/>
      <c r="T12" s="256"/>
      <c r="U12" s="253">
        <f t="shared" si="8"/>
        <v>0</v>
      </c>
      <c r="V12" s="256"/>
      <c r="W12" s="258"/>
      <c r="X12" s="240"/>
    </row>
    <row r="13" spans="1:24" ht="63">
      <c r="A13" s="250" t="s">
        <v>196</v>
      </c>
      <c r="B13" s="247" t="s">
        <v>193</v>
      </c>
      <c r="C13" s="247" t="s">
        <v>197</v>
      </c>
      <c r="D13" s="247" t="s">
        <v>194</v>
      </c>
      <c r="E13" s="259" t="s">
        <v>198</v>
      </c>
      <c r="F13" s="253">
        <f t="shared" si="0"/>
        <v>777310.2</v>
      </c>
      <c r="G13" s="260">
        <f>+G15+G16</f>
        <v>742946.1</v>
      </c>
      <c r="H13" s="260">
        <f>+H15+H16</f>
        <v>34364.1</v>
      </c>
      <c r="I13" s="253">
        <f t="shared" si="1"/>
        <v>944473.3</v>
      </c>
      <c r="J13" s="260">
        <f aca="true" t="shared" si="9" ref="J13:W13">+J15+J16</f>
        <v>861618.3</v>
      </c>
      <c r="K13" s="260">
        <f t="shared" si="9"/>
        <v>82855</v>
      </c>
      <c r="L13" s="253">
        <f t="shared" si="3"/>
        <v>1025254</v>
      </c>
      <c r="M13" s="261">
        <f t="shared" si="9"/>
        <v>878500</v>
      </c>
      <c r="N13" s="261">
        <f t="shared" si="9"/>
        <v>146754</v>
      </c>
      <c r="O13" s="253">
        <f t="shared" si="4"/>
        <v>80780.69999999995</v>
      </c>
      <c r="P13" s="253">
        <f t="shared" si="5"/>
        <v>16881.699999999953</v>
      </c>
      <c r="Q13" s="253">
        <f t="shared" si="6"/>
        <v>63899</v>
      </c>
      <c r="R13" s="253">
        <f t="shared" si="7"/>
        <v>893500</v>
      </c>
      <c r="S13" s="260">
        <f t="shared" si="9"/>
        <v>878500</v>
      </c>
      <c r="T13" s="260">
        <f t="shared" si="9"/>
        <v>15000</v>
      </c>
      <c r="U13" s="253">
        <f t="shared" si="8"/>
        <v>915000</v>
      </c>
      <c r="V13" s="260">
        <f t="shared" si="9"/>
        <v>900000</v>
      </c>
      <c r="W13" s="260">
        <f t="shared" si="9"/>
        <v>15000</v>
      </c>
      <c r="X13" s="240"/>
    </row>
    <row r="14" spans="1:24" ht="10.5">
      <c r="A14" s="250"/>
      <c r="B14" s="247"/>
      <c r="C14" s="247"/>
      <c r="D14" s="247"/>
      <c r="E14" s="255" t="s">
        <v>199</v>
      </c>
      <c r="F14" s="253"/>
      <c r="G14" s="253"/>
      <c r="H14" s="253"/>
      <c r="I14" s="253"/>
      <c r="J14" s="256"/>
      <c r="K14" s="256"/>
      <c r="L14" s="253">
        <f t="shared" si="3"/>
        <v>0</v>
      </c>
      <c r="M14" s="254"/>
      <c r="N14" s="254"/>
      <c r="O14" s="253">
        <f t="shared" si="4"/>
        <v>0</v>
      </c>
      <c r="P14" s="253">
        <f t="shared" si="5"/>
        <v>0</v>
      </c>
      <c r="Q14" s="253">
        <f t="shared" si="6"/>
        <v>0</v>
      </c>
      <c r="R14" s="253">
        <f t="shared" si="7"/>
        <v>0</v>
      </c>
      <c r="S14" s="253"/>
      <c r="T14" s="253"/>
      <c r="U14" s="253">
        <f t="shared" si="8"/>
        <v>0</v>
      </c>
      <c r="V14" s="253"/>
      <c r="W14" s="262"/>
      <c r="X14" s="240"/>
    </row>
    <row r="15" spans="1:24" ht="31.5">
      <c r="A15" s="250" t="s">
        <v>200</v>
      </c>
      <c r="B15" s="247" t="s">
        <v>193</v>
      </c>
      <c r="C15" s="247" t="s">
        <v>197</v>
      </c>
      <c r="D15" s="247" t="s">
        <v>197</v>
      </c>
      <c r="E15" s="255" t="s">
        <v>201</v>
      </c>
      <c r="F15" s="253">
        <f t="shared" si="0"/>
        <v>777310.2</v>
      </c>
      <c r="G15" s="256">
        <v>742946.1</v>
      </c>
      <c r="H15" s="256">
        <v>34364.1</v>
      </c>
      <c r="I15" s="253">
        <f t="shared" si="1"/>
        <v>944473.3</v>
      </c>
      <c r="J15" s="256">
        <f>881618.3-20000</f>
        <v>861618.3</v>
      </c>
      <c r="K15" s="256">
        <v>82855</v>
      </c>
      <c r="L15" s="253">
        <f t="shared" si="3"/>
        <v>1025254</v>
      </c>
      <c r="M15" s="257">
        <v>878500</v>
      </c>
      <c r="N15" s="257">
        <v>146754</v>
      </c>
      <c r="O15" s="253">
        <f t="shared" si="4"/>
        <v>80780.69999999995</v>
      </c>
      <c r="P15" s="253">
        <f t="shared" si="5"/>
        <v>16881.699999999953</v>
      </c>
      <c r="Q15" s="253">
        <f t="shared" si="6"/>
        <v>63899</v>
      </c>
      <c r="R15" s="253">
        <f t="shared" si="7"/>
        <v>893500</v>
      </c>
      <c r="S15" s="256">
        <v>878500</v>
      </c>
      <c r="T15" s="256">
        <f>10000+5000</f>
        <v>15000</v>
      </c>
      <c r="U15" s="253">
        <f>+V15+W15</f>
        <v>915000</v>
      </c>
      <c r="V15" s="256">
        <v>900000</v>
      </c>
      <c r="W15" s="258">
        <f>10000+5000</f>
        <v>15000</v>
      </c>
      <c r="X15" s="240"/>
    </row>
    <row r="16" spans="1:24" ht="21">
      <c r="A16" s="250" t="s">
        <v>202</v>
      </c>
      <c r="B16" s="247" t="s">
        <v>193</v>
      </c>
      <c r="C16" s="247" t="s">
        <v>197</v>
      </c>
      <c r="D16" s="247" t="s">
        <v>203</v>
      </c>
      <c r="E16" s="255" t="s">
        <v>204</v>
      </c>
      <c r="F16" s="253">
        <f t="shared" si="0"/>
        <v>0</v>
      </c>
      <c r="G16" s="256"/>
      <c r="H16" s="256"/>
      <c r="I16" s="253">
        <f t="shared" si="1"/>
        <v>0</v>
      </c>
      <c r="J16" s="256"/>
      <c r="K16" s="256"/>
      <c r="L16" s="253">
        <f t="shared" si="3"/>
        <v>0</v>
      </c>
      <c r="M16" s="257"/>
      <c r="N16" s="257"/>
      <c r="O16" s="253">
        <f t="shared" si="4"/>
        <v>0</v>
      </c>
      <c r="P16" s="253">
        <f t="shared" si="5"/>
        <v>0</v>
      </c>
      <c r="Q16" s="253">
        <f t="shared" si="6"/>
        <v>0</v>
      </c>
      <c r="R16" s="253">
        <f t="shared" si="7"/>
        <v>0</v>
      </c>
      <c r="S16" s="256"/>
      <c r="T16" s="256"/>
      <c r="U16" s="253">
        <f t="shared" si="8"/>
        <v>0</v>
      </c>
      <c r="V16" s="256"/>
      <c r="W16" s="258"/>
      <c r="X16" s="240"/>
    </row>
    <row r="17" spans="1:24" ht="21">
      <c r="A17" s="250" t="s">
        <v>205</v>
      </c>
      <c r="B17" s="247" t="s">
        <v>193</v>
      </c>
      <c r="C17" s="247" t="s">
        <v>203</v>
      </c>
      <c r="D17" s="247" t="s">
        <v>194</v>
      </c>
      <c r="E17" s="259" t="s">
        <v>206</v>
      </c>
      <c r="F17" s="253">
        <f t="shared" si="0"/>
        <v>14692.4</v>
      </c>
      <c r="G17" s="260">
        <f>+G19+G20</f>
        <v>14692.4</v>
      </c>
      <c r="H17" s="260">
        <f>+H19+H20</f>
        <v>0</v>
      </c>
      <c r="I17" s="253">
        <f t="shared" si="1"/>
        <v>31033</v>
      </c>
      <c r="J17" s="260">
        <f aca="true" t="shared" si="10" ref="J17:W17">+J19+J20</f>
        <v>31033</v>
      </c>
      <c r="K17" s="260">
        <f t="shared" si="10"/>
        <v>0</v>
      </c>
      <c r="L17" s="253">
        <f t="shared" si="3"/>
        <v>13000</v>
      </c>
      <c r="M17" s="261">
        <f t="shared" si="10"/>
        <v>13000</v>
      </c>
      <c r="N17" s="261">
        <f t="shared" si="10"/>
        <v>0</v>
      </c>
      <c r="O17" s="253">
        <f t="shared" si="4"/>
        <v>-18033</v>
      </c>
      <c r="P17" s="253">
        <f t="shared" si="5"/>
        <v>-18033</v>
      </c>
      <c r="Q17" s="253">
        <f t="shared" si="6"/>
        <v>0</v>
      </c>
      <c r="R17" s="253">
        <f t="shared" si="7"/>
        <v>13000</v>
      </c>
      <c r="S17" s="260">
        <f t="shared" si="10"/>
        <v>13000</v>
      </c>
      <c r="T17" s="260">
        <f t="shared" si="10"/>
        <v>0</v>
      </c>
      <c r="U17" s="253">
        <f t="shared" si="8"/>
        <v>15000</v>
      </c>
      <c r="V17" s="260">
        <f t="shared" si="10"/>
        <v>15000</v>
      </c>
      <c r="W17" s="260">
        <f t="shared" si="10"/>
        <v>0</v>
      </c>
      <c r="X17" s="240"/>
    </row>
    <row r="18" spans="1:24" ht="10.5">
      <c r="A18" s="250"/>
      <c r="B18" s="247"/>
      <c r="C18" s="247"/>
      <c r="D18" s="247"/>
      <c r="E18" s="255" t="s">
        <v>199</v>
      </c>
      <c r="F18" s="253">
        <f t="shared" si="0"/>
        <v>0</v>
      </c>
      <c r="G18" s="256"/>
      <c r="H18" s="256"/>
      <c r="I18" s="253">
        <f t="shared" si="1"/>
        <v>0</v>
      </c>
      <c r="J18" s="256"/>
      <c r="K18" s="256"/>
      <c r="L18" s="253">
        <f t="shared" si="3"/>
        <v>0</v>
      </c>
      <c r="M18" s="257"/>
      <c r="N18" s="257"/>
      <c r="O18" s="253">
        <f t="shared" si="4"/>
        <v>0</v>
      </c>
      <c r="P18" s="253">
        <f t="shared" si="5"/>
        <v>0</v>
      </c>
      <c r="Q18" s="253">
        <f t="shared" si="6"/>
        <v>0</v>
      </c>
      <c r="R18" s="253">
        <f t="shared" si="7"/>
        <v>0</v>
      </c>
      <c r="S18" s="256"/>
      <c r="T18" s="256"/>
      <c r="U18" s="253">
        <f t="shared" si="8"/>
        <v>0</v>
      </c>
      <c r="V18" s="256"/>
      <c r="W18" s="258"/>
      <c r="X18" s="240"/>
    </row>
    <row r="19" spans="1:24" ht="21">
      <c r="A19" s="250" t="s">
        <v>207</v>
      </c>
      <c r="B19" s="247" t="s">
        <v>193</v>
      </c>
      <c r="C19" s="247" t="s">
        <v>203</v>
      </c>
      <c r="D19" s="247" t="s">
        <v>197</v>
      </c>
      <c r="E19" s="255" t="s">
        <v>208</v>
      </c>
      <c r="F19" s="253">
        <f t="shared" si="0"/>
        <v>0</v>
      </c>
      <c r="G19" s="256"/>
      <c r="H19" s="256"/>
      <c r="I19" s="253">
        <f t="shared" si="1"/>
        <v>0</v>
      </c>
      <c r="J19" s="256"/>
      <c r="K19" s="256"/>
      <c r="L19" s="253">
        <f t="shared" si="3"/>
        <v>0</v>
      </c>
      <c r="M19" s="257"/>
      <c r="N19" s="257"/>
      <c r="O19" s="253">
        <f t="shared" si="4"/>
        <v>0</v>
      </c>
      <c r="P19" s="253">
        <f t="shared" si="5"/>
        <v>0</v>
      </c>
      <c r="Q19" s="253">
        <f t="shared" si="6"/>
        <v>0</v>
      </c>
      <c r="R19" s="253">
        <f t="shared" si="7"/>
        <v>0</v>
      </c>
      <c r="S19" s="256"/>
      <c r="T19" s="256"/>
      <c r="U19" s="253">
        <f t="shared" si="8"/>
        <v>0</v>
      </c>
      <c r="V19" s="256"/>
      <c r="W19" s="258"/>
      <c r="X19" s="240"/>
    </row>
    <row r="20" spans="1:24" ht="30">
      <c r="A20" s="43" t="s">
        <v>626</v>
      </c>
      <c r="B20" s="247" t="s">
        <v>193</v>
      </c>
      <c r="C20" s="247" t="s">
        <v>203</v>
      </c>
      <c r="D20" s="247">
        <v>3</v>
      </c>
      <c r="E20" s="43" t="s">
        <v>627</v>
      </c>
      <c r="F20" s="253">
        <f t="shared" si="0"/>
        <v>14692.4</v>
      </c>
      <c r="G20" s="256">
        <v>14692.4</v>
      </c>
      <c r="H20" s="256"/>
      <c r="I20" s="253">
        <f t="shared" si="1"/>
        <v>31033</v>
      </c>
      <c r="J20" s="256">
        <f>11033+20000</f>
        <v>31033</v>
      </c>
      <c r="K20" s="256"/>
      <c r="L20" s="253">
        <f t="shared" si="3"/>
        <v>13000</v>
      </c>
      <c r="M20" s="257">
        <v>13000</v>
      </c>
      <c r="N20" s="257"/>
      <c r="O20" s="253">
        <f t="shared" si="4"/>
        <v>-18033</v>
      </c>
      <c r="P20" s="253">
        <f t="shared" si="5"/>
        <v>-18033</v>
      </c>
      <c r="Q20" s="253">
        <f t="shared" si="6"/>
        <v>0</v>
      </c>
      <c r="R20" s="253">
        <f t="shared" si="7"/>
        <v>13000</v>
      </c>
      <c r="S20" s="256">
        <v>13000</v>
      </c>
      <c r="T20" s="256"/>
      <c r="U20" s="253">
        <f t="shared" si="8"/>
        <v>15000</v>
      </c>
      <c r="V20" s="256">
        <v>15000</v>
      </c>
      <c r="W20" s="258"/>
      <c r="X20" s="240"/>
    </row>
    <row r="21" spans="1:24" ht="42">
      <c r="A21" s="250" t="s">
        <v>209</v>
      </c>
      <c r="B21" s="247" t="s">
        <v>193</v>
      </c>
      <c r="C21" s="247" t="s">
        <v>210</v>
      </c>
      <c r="D21" s="247" t="s">
        <v>194</v>
      </c>
      <c r="E21" s="259" t="s">
        <v>211</v>
      </c>
      <c r="F21" s="253">
        <f t="shared" si="0"/>
        <v>0</v>
      </c>
      <c r="G21" s="260">
        <f>+G23</f>
        <v>0</v>
      </c>
      <c r="H21" s="260">
        <f>+H23</f>
        <v>0</v>
      </c>
      <c r="I21" s="253">
        <f t="shared" si="1"/>
        <v>0</v>
      </c>
      <c r="J21" s="260">
        <f aca="true" t="shared" si="11" ref="J21:W21">+J23</f>
        <v>0</v>
      </c>
      <c r="K21" s="260">
        <f t="shared" si="11"/>
        <v>0</v>
      </c>
      <c r="L21" s="253">
        <f t="shared" si="3"/>
        <v>0</v>
      </c>
      <c r="M21" s="261">
        <f t="shared" si="11"/>
        <v>0</v>
      </c>
      <c r="N21" s="261">
        <f t="shared" si="11"/>
        <v>0</v>
      </c>
      <c r="O21" s="253">
        <f t="shared" si="4"/>
        <v>0</v>
      </c>
      <c r="P21" s="253">
        <f t="shared" si="5"/>
        <v>0</v>
      </c>
      <c r="Q21" s="253">
        <f t="shared" si="6"/>
        <v>0</v>
      </c>
      <c r="R21" s="253">
        <f t="shared" si="7"/>
        <v>0</v>
      </c>
      <c r="S21" s="260">
        <f t="shared" si="11"/>
        <v>0</v>
      </c>
      <c r="T21" s="260">
        <f t="shared" si="11"/>
        <v>0</v>
      </c>
      <c r="U21" s="253">
        <f t="shared" si="8"/>
        <v>0</v>
      </c>
      <c r="V21" s="260">
        <f t="shared" si="11"/>
        <v>0</v>
      </c>
      <c r="W21" s="260">
        <f t="shared" si="11"/>
        <v>0</v>
      </c>
      <c r="X21" s="240"/>
    </row>
    <row r="22" spans="1:24" ht="10.5">
      <c r="A22" s="250"/>
      <c r="B22" s="247"/>
      <c r="C22" s="247"/>
      <c r="D22" s="247"/>
      <c r="E22" s="255" t="s">
        <v>199</v>
      </c>
      <c r="F22" s="253"/>
      <c r="G22" s="256"/>
      <c r="H22" s="256"/>
      <c r="I22" s="253"/>
      <c r="J22" s="256"/>
      <c r="K22" s="256"/>
      <c r="L22" s="253">
        <f t="shared" si="3"/>
        <v>0</v>
      </c>
      <c r="M22" s="257"/>
      <c r="N22" s="257"/>
      <c r="O22" s="253">
        <f t="shared" si="4"/>
        <v>0</v>
      </c>
      <c r="P22" s="253">
        <f t="shared" si="5"/>
        <v>0</v>
      </c>
      <c r="Q22" s="253">
        <f t="shared" si="6"/>
        <v>0</v>
      </c>
      <c r="R22" s="253">
        <f t="shared" si="7"/>
        <v>0</v>
      </c>
      <c r="S22" s="256"/>
      <c r="T22" s="256"/>
      <c r="U22" s="253">
        <f t="shared" si="8"/>
        <v>0</v>
      </c>
      <c r="V22" s="256"/>
      <c r="W22" s="258"/>
      <c r="X22" s="240"/>
    </row>
    <row r="23" spans="1:24" ht="42">
      <c r="A23" s="250" t="s">
        <v>212</v>
      </c>
      <c r="B23" s="247" t="s">
        <v>193</v>
      </c>
      <c r="C23" s="247" t="s">
        <v>210</v>
      </c>
      <c r="D23" s="247" t="s">
        <v>197</v>
      </c>
      <c r="E23" s="255" t="s">
        <v>211</v>
      </c>
      <c r="F23" s="253">
        <f t="shared" si="0"/>
        <v>0</v>
      </c>
      <c r="G23" s="256"/>
      <c r="H23" s="256"/>
      <c r="I23" s="253">
        <f t="shared" si="1"/>
        <v>0</v>
      </c>
      <c r="J23" s="256"/>
      <c r="K23" s="256"/>
      <c r="L23" s="253">
        <f t="shared" si="3"/>
        <v>0</v>
      </c>
      <c r="M23" s="257"/>
      <c r="N23" s="257"/>
      <c r="O23" s="253">
        <f t="shared" si="4"/>
        <v>0</v>
      </c>
      <c r="P23" s="253">
        <f t="shared" si="5"/>
        <v>0</v>
      </c>
      <c r="Q23" s="253">
        <f t="shared" si="6"/>
        <v>0</v>
      </c>
      <c r="R23" s="253">
        <f t="shared" si="7"/>
        <v>0</v>
      </c>
      <c r="S23" s="256"/>
      <c r="T23" s="256"/>
      <c r="U23" s="253">
        <f t="shared" si="8"/>
        <v>0</v>
      </c>
      <c r="V23" s="256"/>
      <c r="W23" s="258"/>
      <c r="X23" s="240"/>
    </row>
    <row r="24" spans="1:24" ht="31.5">
      <c r="A24" s="250" t="s">
        <v>213</v>
      </c>
      <c r="B24" s="247" t="s">
        <v>193</v>
      </c>
      <c r="C24" s="247" t="s">
        <v>214</v>
      </c>
      <c r="D24" s="247" t="s">
        <v>194</v>
      </c>
      <c r="E24" s="259" t="s">
        <v>215</v>
      </c>
      <c r="F24" s="253">
        <f t="shared" si="0"/>
        <v>46754.2</v>
      </c>
      <c r="G24" s="260">
        <f>+G26</f>
        <v>23493.9</v>
      </c>
      <c r="H24" s="260">
        <f>+H26</f>
        <v>23260.3</v>
      </c>
      <c r="I24" s="253">
        <f t="shared" si="1"/>
        <v>135006.3</v>
      </c>
      <c r="J24" s="260">
        <f aca="true" t="shared" si="12" ref="J24:W24">+J26</f>
        <v>64005</v>
      </c>
      <c r="K24" s="260">
        <f t="shared" si="12"/>
        <v>71001.3</v>
      </c>
      <c r="L24" s="253">
        <f t="shared" si="3"/>
        <v>248120</v>
      </c>
      <c r="M24" s="261">
        <f t="shared" si="12"/>
        <v>50000</v>
      </c>
      <c r="N24" s="261">
        <f t="shared" si="12"/>
        <v>198120</v>
      </c>
      <c r="O24" s="253">
        <f t="shared" si="4"/>
        <v>113113.70000000001</v>
      </c>
      <c r="P24" s="253">
        <f t="shared" si="5"/>
        <v>-14005</v>
      </c>
      <c r="Q24" s="253">
        <f t="shared" si="6"/>
        <v>127118.7</v>
      </c>
      <c r="R24" s="253">
        <f t="shared" si="7"/>
        <v>75000</v>
      </c>
      <c r="S24" s="260">
        <f t="shared" si="12"/>
        <v>50000</v>
      </c>
      <c r="T24" s="260">
        <f t="shared" si="12"/>
        <v>25000</v>
      </c>
      <c r="U24" s="253">
        <f t="shared" si="8"/>
        <v>90000</v>
      </c>
      <c r="V24" s="260">
        <f t="shared" si="12"/>
        <v>45000</v>
      </c>
      <c r="W24" s="260">
        <f t="shared" si="12"/>
        <v>45000</v>
      </c>
      <c r="X24" s="240"/>
    </row>
    <row r="25" spans="1:24" ht="10.5">
      <c r="A25" s="250"/>
      <c r="B25" s="247"/>
      <c r="C25" s="247"/>
      <c r="D25" s="247"/>
      <c r="E25" s="255" t="s">
        <v>199</v>
      </c>
      <c r="F25" s="253">
        <f t="shared" si="0"/>
        <v>0</v>
      </c>
      <c r="G25" s="256"/>
      <c r="H25" s="256"/>
      <c r="I25" s="253">
        <f t="shared" si="1"/>
        <v>0</v>
      </c>
      <c r="J25" s="256"/>
      <c r="K25" s="256"/>
      <c r="L25" s="253">
        <f t="shared" si="3"/>
        <v>0</v>
      </c>
      <c r="M25" s="257"/>
      <c r="N25" s="257"/>
      <c r="O25" s="253">
        <f t="shared" si="4"/>
        <v>0</v>
      </c>
      <c r="P25" s="253">
        <f t="shared" si="5"/>
        <v>0</v>
      </c>
      <c r="Q25" s="253">
        <f t="shared" si="6"/>
        <v>0</v>
      </c>
      <c r="R25" s="253">
        <f t="shared" si="7"/>
        <v>0</v>
      </c>
      <c r="S25" s="256"/>
      <c r="T25" s="256"/>
      <c r="U25" s="253">
        <f t="shared" si="8"/>
        <v>0</v>
      </c>
      <c r="V25" s="256"/>
      <c r="W25" s="258"/>
      <c r="X25" s="240"/>
    </row>
    <row r="26" spans="1:24" ht="31.5">
      <c r="A26" s="250" t="s">
        <v>216</v>
      </c>
      <c r="B26" s="247" t="s">
        <v>193</v>
      </c>
      <c r="C26" s="247" t="s">
        <v>214</v>
      </c>
      <c r="D26" s="247" t="s">
        <v>197</v>
      </c>
      <c r="E26" s="255" t="s">
        <v>215</v>
      </c>
      <c r="F26" s="253">
        <f t="shared" si="0"/>
        <v>46754.2</v>
      </c>
      <c r="G26" s="256">
        <v>23493.9</v>
      </c>
      <c r="H26" s="256">
        <v>23260.3</v>
      </c>
      <c r="I26" s="253">
        <f t="shared" si="1"/>
        <v>135006.3</v>
      </c>
      <c r="J26" s="256">
        <v>64005</v>
      </c>
      <c r="K26" s="256">
        <v>71001.3</v>
      </c>
      <c r="L26" s="253">
        <f t="shared" si="3"/>
        <v>248120</v>
      </c>
      <c r="M26" s="257">
        <v>50000</v>
      </c>
      <c r="N26" s="257">
        <v>198120</v>
      </c>
      <c r="O26" s="253">
        <f t="shared" si="4"/>
        <v>113113.70000000001</v>
      </c>
      <c r="P26" s="253">
        <f t="shared" si="5"/>
        <v>-14005</v>
      </c>
      <c r="Q26" s="253">
        <f t="shared" si="6"/>
        <v>127118.7</v>
      </c>
      <c r="R26" s="253">
        <f t="shared" si="7"/>
        <v>75000</v>
      </c>
      <c r="S26" s="256">
        <v>50000</v>
      </c>
      <c r="T26" s="256">
        <v>25000</v>
      </c>
      <c r="U26" s="253">
        <f t="shared" si="8"/>
        <v>90000</v>
      </c>
      <c r="V26" s="256">
        <v>45000</v>
      </c>
      <c r="W26" s="258">
        <f>20000+25000</f>
        <v>45000</v>
      </c>
      <c r="X26" s="240"/>
    </row>
    <row r="27" spans="1:24" ht="21">
      <c r="A27" s="250" t="s">
        <v>217</v>
      </c>
      <c r="B27" s="247" t="s">
        <v>218</v>
      </c>
      <c r="C27" s="247" t="s">
        <v>194</v>
      </c>
      <c r="D27" s="247" t="s">
        <v>194</v>
      </c>
      <c r="E27" s="259" t="s">
        <v>219</v>
      </c>
      <c r="F27" s="253">
        <f t="shared" si="0"/>
        <v>5222</v>
      </c>
      <c r="G27" s="260">
        <f>+G29+G32</f>
        <v>4622</v>
      </c>
      <c r="H27" s="260">
        <f>+H29+H32</f>
        <v>600</v>
      </c>
      <c r="I27" s="253">
        <f t="shared" si="1"/>
        <v>21000</v>
      </c>
      <c r="J27" s="260">
        <f aca="true" t="shared" si="13" ref="J27:W27">+J29+J32</f>
        <v>1000</v>
      </c>
      <c r="K27" s="260">
        <f t="shared" si="13"/>
        <v>20000</v>
      </c>
      <c r="L27" s="253">
        <f t="shared" si="3"/>
        <v>10000</v>
      </c>
      <c r="M27" s="261">
        <f t="shared" si="13"/>
        <v>10000</v>
      </c>
      <c r="N27" s="261">
        <f t="shared" si="13"/>
        <v>0</v>
      </c>
      <c r="O27" s="253">
        <f t="shared" si="4"/>
        <v>-11000</v>
      </c>
      <c r="P27" s="253">
        <f t="shared" si="5"/>
        <v>9000</v>
      </c>
      <c r="Q27" s="253">
        <f t="shared" si="6"/>
        <v>-20000</v>
      </c>
      <c r="R27" s="253">
        <f t="shared" si="7"/>
        <v>0</v>
      </c>
      <c r="S27" s="260">
        <f t="shared" si="13"/>
        <v>0</v>
      </c>
      <c r="T27" s="260">
        <f t="shared" si="13"/>
        <v>0</v>
      </c>
      <c r="U27" s="253">
        <f t="shared" si="8"/>
        <v>0</v>
      </c>
      <c r="V27" s="260">
        <f t="shared" si="13"/>
        <v>0</v>
      </c>
      <c r="W27" s="260">
        <f t="shared" si="13"/>
        <v>0</v>
      </c>
      <c r="X27" s="240"/>
    </row>
    <row r="28" spans="1:24" ht="10.5">
      <c r="A28" s="250"/>
      <c r="B28" s="247"/>
      <c r="C28" s="247"/>
      <c r="D28" s="247"/>
      <c r="E28" s="255" t="s">
        <v>5</v>
      </c>
      <c r="F28" s="253">
        <f t="shared" si="0"/>
        <v>0</v>
      </c>
      <c r="G28" s="256"/>
      <c r="H28" s="256"/>
      <c r="I28" s="253">
        <f t="shared" si="1"/>
        <v>0</v>
      </c>
      <c r="J28" s="256"/>
      <c r="K28" s="256"/>
      <c r="L28" s="253">
        <f t="shared" si="3"/>
        <v>0</v>
      </c>
      <c r="M28" s="257"/>
      <c r="N28" s="257"/>
      <c r="O28" s="253">
        <f t="shared" si="4"/>
        <v>0</v>
      </c>
      <c r="P28" s="253">
        <f t="shared" si="5"/>
        <v>0</v>
      </c>
      <c r="Q28" s="253">
        <f t="shared" si="6"/>
        <v>0</v>
      </c>
      <c r="R28" s="253">
        <f t="shared" si="7"/>
        <v>0</v>
      </c>
      <c r="S28" s="256"/>
      <c r="T28" s="256"/>
      <c r="U28" s="253">
        <f t="shared" si="8"/>
        <v>0</v>
      </c>
      <c r="V28" s="256"/>
      <c r="W28" s="258"/>
      <c r="X28" s="240"/>
    </row>
    <row r="29" spans="1:24" ht="21">
      <c r="A29" s="250" t="s">
        <v>220</v>
      </c>
      <c r="B29" s="247" t="s">
        <v>218</v>
      </c>
      <c r="C29" s="247" t="s">
        <v>221</v>
      </c>
      <c r="D29" s="247" t="s">
        <v>194</v>
      </c>
      <c r="E29" s="259" t="s">
        <v>222</v>
      </c>
      <c r="F29" s="253">
        <f t="shared" si="0"/>
        <v>5029</v>
      </c>
      <c r="G29" s="260">
        <f>+G31</f>
        <v>4429</v>
      </c>
      <c r="H29" s="260">
        <f>+H31</f>
        <v>600</v>
      </c>
      <c r="I29" s="253">
        <f t="shared" si="1"/>
        <v>0</v>
      </c>
      <c r="J29" s="260">
        <f aca="true" t="shared" si="14" ref="J29:W29">+J31</f>
        <v>0</v>
      </c>
      <c r="K29" s="260">
        <f t="shared" si="14"/>
        <v>0</v>
      </c>
      <c r="L29" s="253">
        <f t="shared" si="3"/>
        <v>0</v>
      </c>
      <c r="M29" s="261">
        <f t="shared" si="14"/>
        <v>0</v>
      </c>
      <c r="N29" s="261">
        <f t="shared" si="14"/>
        <v>0</v>
      </c>
      <c r="O29" s="253">
        <f t="shared" si="4"/>
        <v>0</v>
      </c>
      <c r="P29" s="253">
        <f t="shared" si="5"/>
        <v>0</v>
      </c>
      <c r="Q29" s="253">
        <f t="shared" si="6"/>
        <v>0</v>
      </c>
      <c r="R29" s="253">
        <f t="shared" si="7"/>
        <v>0</v>
      </c>
      <c r="S29" s="260">
        <f t="shared" si="14"/>
        <v>0</v>
      </c>
      <c r="T29" s="260">
        <f t="shared" si="14"/>
        <v>0</v>
      </c>
      <c r="U29" s="253">
        <f t="shared" si="8"/>
        <v>0</v>
      </c>
      <c r="V29" s="260">
        <f t="shared" si="14"/>
        <v>0</v>
      </c>
      <c r="W29" s="260">
        <f t="shared" si="14"/>
        <v>0</v>
      </c>
      <c r="X29" s="240"/>
    </row>
    <row r="30" spans="1:24" ht="10.5">
      <c r="A30" s="250"/>
      <c r="B30" s="247"/>
      <c r="C30" s="247"/>
      <c r="D30" s="247"/>
      <c r="E30" s="255" t="s">
        <v>199</v>
      </c>
      <c r="F30" s="253">
        <f t="shared" si="0"/>
        <v>0</v>
      </c>
      <c r="G30" s="256"/>
      <c r="H30" s="256"/>
      <c r="I30" s="253">
        <f t="shared" si="1"/>
        <v>0</v>
      </c>
      <c r="J30" s="256"/>
      <c r="K30" s="256"/>
      <c r="L30" s="253">
        <f t="shared" si="3"/>
        <v>0</v>
      </c>
      <c r="M30" s="257"/>
      <c r="N30" s="257"/>
      <c r="O30" s="253">
        <f t="shared" si="4"/>
        <v>0</v>
      </c>
      <c r="P30" s="253">
        <f t="shared" si="5"/>
        <v>0</v>
      </c>
      <c r="Q30" s="253">
        <f t="shared" si="6"/>
        <v>0</v>
      </c>
      <c r="R30" s="253">
        <f t="shared" si="7"/>
        <v>0</v>
      </c>
      <c r="S30" s="256"/>
      <c r="T30" s="256"/>
      <c r="U30" s="253">
        <f t="shared" si="8"/>
        <v>0</v>
      </c>
      <c r="V30" s="256"/>
      <c r="W30" s="258"/>
      <c r="X30" s="240"/>
    </row>
    <row r="31" spans="1:24" ht="21">
      <c r="A31" s="250" t="s">
        <v>223</v>
      </c>
      <c r="B31" s="247" t="s">
        <v>218</v>
      </c>
      <c r="C31" s="247" t="s">
        <v>221</v>
      </c>
      <c r="D31" s="247" t="s">
        <v>197</v>
      </c>
      <c r="E31" s="255" t="s">
        <v>222</v>
      </c>
      <c r="F31" s="253">
        <f t="shared" si="0"/>
        <v>5029</v>
      </c>
      <c r="G31" s="256">
        <v>4429</v>
      </c>
      <c r="H31" s="256">
        <v>600</v>
      </c>
      <c r="I31" s="253">
        <f t="shared" si="1"/>
        <v>0</v>
      </c>
      <c r="J31" s="256"/>
      <c r="K31" s="256"/>
      <c r="L31" s="253">
        <f t="shared" si="3"/>
        <v>0</v>
      </c>
      <c r="M31" s="257"/>
      <c r="N31" s="257"/>
      <c r="O31" s="253">
        <f t="shared" si="4"/>
        <v>0</v>
      </c>
      <c r="P31" s="253">
        <f t="shared" si="5"/>
        <v>0</v>
      </c>
      <c r="Q31" s="253">
        <f t="shared" si="6"/>
        <v>0</v>
      </c>
      <c r="R31" s="253">
        <f t="shared" si="7"/>
        <v>0</v>
      </c>
      <c r="S31" s="256"/>
      <c r="T31" s="256"/>
      <c r="U31" s="253">
        <f t="shared" si="8"/>
        <v>0</v>
      </c>
      <c r="V31" s="256"/>
      <c r="W31" s="258"/>
      <c r="X31" s="240"/>
    </row>
    <row r="32" spans="1:24" ht="21">
      <c r="A32" s="250" t="s">
        <v>224</v>
      </c>
      <c r="B32" s="247" t="s">
        <v>218</v>
      </c>
      <c r="C32" s="247" t="s">
        <v>210</v>
      </c>
      <c r="D32" s="247" t="s">
        <v>194</v>
      </c>
      <c r="E32" s="259" t="s">
        <v>225</v>
      </c>
      <c r="F32" s="253">
        <f t="shared" si="0"/>
        <v>193</v>
      </c>
      <c r="G32" s="260">
        <f>+G34</f>
        <v>193</v>
      </c>
      <c r="H32" s="260">
        <f>+H34</f>
        <v>0</v>
      </c>
      <c r="I32" s="253">
        <f t="shared" si="1"/>
        <v>21000</v>
      </c>
      <c r="J32" s="260">
        <f aca="true" t="shared" si="15" ref="J32:W32">+J34</f>
        <v>1000</v>
      </c>
      <c r="K32" s="260">
        <f t="shared" si="15"/>
        <v>20000</v>
      </c>
      <c r="L32" s="253">
        <f t="shared" si="3"/>
        <v>10000</v>
      </c>
      <c r="M32" s="261">
        <f t="shared" si="15"/>
        <v>10000</v>
      </c>
      <c r="N32" s="261">
        <f t="shared" si="15"/>
        <v>0</v>
      </c>
      <c r="O32" s="253">
        <f t="shared" si="4"/>
        <v>-11000</v>
      </c>
      <c r="P32" s="253">
        <f t="shared" si="5"/>
        <v>9000</v>
      </c>
      <c r="Q32" s="253">
        <f t="shared" si="6"/>
        <v>-20000</v>
      </c>
      <c r="R32" s="253">
        <f t="shared" si="7"/>
        <v>0</v>
      </c>
      <c r="S32" s="260">
        <f t="shared" si="15"/>
        <v>0</v>
      </c>
      <c r="T32" s="260">
        <f t="shared" si="15"/>
        <v>0</v>
      </c>
      <c r="U32" s="253">
        <f t="shared" si="8"/>
        <v>0</v>
      </c>
      <c r="V32" s="260">
        <f t="shared" si="15"/>
        <v>0</v>
      </c>
      <c r="W32" s="260">
        <f t="shared" si="15"/>
        <v>0</v>
      </c>
      <c r="X32" s="240"/>
    </row>
    <row r="33" spans="1:24" ht="10.5">
      <c r="A33" s="250"/>
      <c r="B33" s="247"/>
      <c r="C33" s="247"/>
      <c r="D33" s="247"/>
      <c r="E33" s="255" t="s">
        <v>199</v>
      </c>
      <c r="F33" s="253">
        <f t="shared" si="0"/>
        <v>0</v>
      </c>
      <c r="G33" s="256"/>
      <c r="H33" s="256"/>
      <c r="I33" s="253">
        <f t="shared" si="1"/>
        <v>0</v>
      </c>
      <c r="J33" s="256"/>
      <c r="K33" s="256"/>
      <c r="L33" s="253">
        <f t="shared" si="3"/>
        <v>0</v>
      </c>
      <c r="M33" s="257"/>
      <c r="N33" s="257"/>
      <c r="O33" s="253">
        <f t="shared" si="4"/>
        <v>0</v>
      </c>
      <c r="P33" s="253">
        <f t="shared" si="5"/>
        <v>0</v>
      </c>
      <c r="Q33" s="253">
        <f t="shared" si="6"/>
        <v>0</v>
      </c>
      <c r="R33" s="253">
        <f t="shared" si="7"/>
        <v>0</v>
      </c>
      <c r="S33" s="256"/>
      <c r="T33" s="256"/>
      <c r="U33" s="253">
        <f t="shared" si="8"/>
        <v>0</v>
      </c>
      <c r="V33" s="256"/>
      <c r="W33" s="258"/>
      <c r="X33" s="240"/>
    </row>
    <row r="34" spans="1:24" ht="21">
      <c r="A34" s="250" t="s">
        <v>226</v>
      </c>
      <c r="B34" s="247" t="s">
        <v>218</v>
      </c>
      <c r="C34" s="247" t="s">
        <v>210</v>
      </c>
      <c r="D34" s="247" t="s">
        <v>197</v>
      </c>
      <c r="E34" s="255" t="s">
        <v>225</v>
      </c>
      <c r="F34" s="253">
        <f t="shared" si="0"/>
        <v>193</v>
      </c>
      <c r="G34" s="253">
        <v>193</v>
      </c>
      <c r="H34" s="253"/>
      <c r="I34" s="253">
        <f t="shared" si="1"/>
        <v>21000</v>
      </c>
      <c r="J34" s="256">
        <v>1000</v>
      </c>
      <c r="K34" s="256">
        <v>20000</v>
      </c>
      <c r="L34" s="253">
        <f t="shared" si="3"/>
        <v>10000</v>
      </c>
      <c r="M34" s="254">
        <v>10000</v>
      </c>
      <c r="N34" s="254"/>
      <c r="O34" s="253">
        <f t="shared" si="4"/>
        <v>-11000</v>
      </c>
      <c r="P34" s="253">
        <f t="shared" si="5"/>
        <v>9000</v>
      </c>
      <c r="Q34" s="253">
        <f t="shared" si="6"/>
        <v>-20000</v>
      </c>
      <c r="R34" s="253">
        <f t="shared" si="7"/>
        <v>0</v>
      </c>
      <c r="S34" s="253"/>
      <c r="T34" s="253"/>
      <c r="U34" s="253">
        <f t="shared" si="8"/>
        <v>0</v>
      </c>
      <c r="V34" s="253"/>
      <c r="W34" s="262"/>
      <c r="X34" s="240"/>
    </row>
    <row r="35" spans="1:24" ht="31.5">
      <c r="A35" s="250">
        <v>2300</v>
      </c>
      <c r="B35" s="263" t="s">
        <v>702</v>
      </c>
      <c r="C35" s="247">
        <v>0</v>
      </c>
      <c r="D35" s="247">
        <v>0</v>
      </c>
      <c r="E35" s="259" t="s">
        <v>703</v>
      </c>
      <c r="F35" s="253">
        <f t="shared" si="0"/>
        <v>2041.2</v>
      </c>
      <c r="G35" s="253">
        <f>+G36</f>
        <v>461.2</v>
      </c>
      <c r="H35" s="253">
        <f>+H36</f>
        <v>1580</v>
      </c>
      <c r="I35" s="253"/>
      <c r="J35" s="256"/>
      <c r="K35" s="256"/>
      <c r="L35" s="253"/>
      <c r="M35" s="254"/>
      <c r="N35" s="254"/>
      <c r="O35" s="253">
        <f t="shared" si="4"/>
        <v>0</v>
      </c>
      <c r="P35" s="253">
        <f t="shared" si="5"/>
        <v>0</v>
      </c>
      <c r="Q35" s="253">
        <f t="shared" si="6"/>
        <v>0</v>
      </c>
      <c r="R35" s="253"/>
      <c r="S35" s="253">
        <v>10000</v>
      </c>
      <c r="T35" s="253"/>
      <c r="U35" s="253"/>
      <c r="V35" s="253"/>
      <c r="W35" s="262"/>
      <c r="X35" s="240"/>
    </row>
    <row r="36" spans="1:24" ht="21">
      <c r="A36" s="250">
        <v>2320</v>
      </c>
      <c r="B36" s="263" t="s">
        <v>702</v>
      </c>
      <c r="C36" s="263" t="s">
        <v>218</v>
      </c>
      <c r="D36" s="247">
        <v>0</v>
      </c>
      <c r="E36" s="255" t="s">
        <v>704</v>
      </c>
      <c r="F36" s="253">
        <f t="shared" si="0"/>
        <v>2041.2</v>
      </c>
      <c r="G36" s="253">
        <f>+G37</f>
        <v>461.2</v>
      </c>
      <c r="H36" s="253">
        <f>+H37</f>
        <v>1580</v>
      </c>
      <c r="I36" s="253"/>
      <c r="J36" s="256"/>
      <c r="K36" s="256"/>
      <c r="L36" s="253"/>
      <c r="M36" s="254"/>
      <c r="N36" s="254"/>
      <c r="O36" s="253">
        <f t="shared" si="4"/>
        <v>0</v>
      </c>
      <c r="P36" s="253">
        <f t="shared" si="5"/>
        <v>0</v>
      </c>
      <c r="Q36" s="253">
        <f t="shared" si="6"/>
        <v>0</v>
      </c>
      <c r="R36" s="253"/>
      <c r="S36" s="253"/>
      <c r="T36" s="253"/>
      <c r="U36" s="253"/>
      <c r="V36" s="253"/>
      <c r="W36" s="262"/>
      <c r="X36" s="240"/>
    </row>
    <row r="37" spans="1:24" ht="21">
      <c r="A37" s="250">
        <v>2321</v>
      </c>
      <c r="B37" s="263" t="s">
        <v>702</v>
      </c>
      <c r="C37" s="263" t="s">
        <v>218</v>
      </c>
      <c r="D37" s="263" t="s">
        <v>193</v>
      </c>
      <c r="E37" s="255" t="s">
        <v>705</v>
      </c>
      <c r="F37" s="253">
        <f t="shared" si="0"/>
        <v>2041.2</v>
      </c>
      <c r="G37" s="253">
        <v>461.2</v>
      </c>
      <c r="H37" s="253">
        <v>1580</v>
      </c>
      <c r="I37" s="253"/>
      <c r="J37" s="256"/>
      <c r="K37" s="256"/>
      <c r="L37" s="253"/>
      <c r="M37" s="254"/>
      <c r="N37" s="254"/>
      <c r="O37" s="253">
        <f t="shared" si="4"/>
        <v>0</v>
      </c>
      <c r="P37" s="253">
        <f t="shared" si="5"/>
        <v>0</v>
      </c>
      <c r="Q37" s="253">
        <f t="shared" si="6"/>
        <v>0</v>
      </c>
      <c r="R37" s="253"/>
      <c r="S37" s="253"/>
      <c r="T37" s="253"/>
      <c r="U37" s="253"/>
      <c r="V37" s="253"/>
      <c r="W37" s="262"/>
      <c r="X37" s="240"/>
    </row>
    <row r="38" spans="1:24" ht="21">
      <c r="A38" s="250" t="s">
        <v>227</v>
      </c>
      <c r="B38" s="247" t="s">
        <v>228</v>
      </c>
      <c r="C38" s="247" t="s">
        <v>194</v>
      </c>
      <c r="D38" s="247" t="s">
        <v>194</v>
      </c>
      <c r="E38" s="259" t="s">
        <v>229</v>
      </c>
      <c r="F38" s="253">
        <f t="shared" si="0"/>
        <v>274516.3</v>
      </c>
      <c r="G38" s="260">
        <f>+G40+G43+G48+G52+G56+G59</f>
        <v>25583.3</v>
      </c>
      <c r="H38" s="260">
        <f>+H40+H43+H48+H52+H56+H59</f>
        <v>248933</v>
      </c>
      <c r="I38" s="253">
        <f t="shared" si="1"/>
        <v>328161.19999999995</v>
      </c>
      <c r="J38" s="260">
        <f aca="true" t="shared" si="16" ref="J38:W38">+J40+J43+J48+J52+J56+J59</f>
        <v>0</v>
      </c>
      <c r="K38" s="260">
        <f t="shared" si="16"/>
        <v>328161.19999999995</v>
      </c>
      <c r="L38" s="253">
        <f t="shared" si="3"/>
        <v>-116022</v>
      </c>
      <c r="M38" s="261">
        <f t="shared" si="16"/>
        <v>0</v>
      </c>
      <c r="N38" s="261">
        <f t="shared" si="16"/>
        <v>-116022</v>
      </c>
      <c r="O38" s="253">
        <f t="shared" si="4"/>
        <v>-444183.19999999995</v>
      </c>
      <c r="P38" s="253">
        <f t="shared" si="5"/>
        <v>0</v>
      </c>
      <c r="Q38" s="253">
        <f t="shared" si="6"/>
        <v>-444183.19999999995</v>
      </c>
      <c r="R38" s="253">
        <f t="shared" si="7"/>
        <v>1127000</v>
      </c>
      <c r="S38" s="260">
        <f t="shared" si="16"/>
        <v>0</v>
      </c>
      <c r="T38" s="260">
        <f t="shared" si="16"/>
        <v>1127000</v>
      </c>
      <c r="U38" s="253">
        <f t="shared" si="8"/>
        <v>1290120</v>
      </c>
      <c r="V38" s="260">
        <f t="shared" si="16"/>
        <v>5620</v>
      </c>
      <c r="W38" s="260">
        <f t="shared" si="16"/>
        <v>1284500</v>
      </c>
      <c r="X38" s="240"/>
    </row>
    <row r="39" spans="1:24" ht="10.5">
      <c r="A39" s="250"/>
      <c r="B39" s="247"/>
      <c r="C39" s="247"/>
      <c r="D39" s="247"/>
      <c r="E39" s="255" t="s">
        <v>5</v>
      </c>
      <c r="F39" s="253">
        <f t="shared" si="0"/>
        <v>0</v>
      </c>
      <c r="G39" s="256"/>
      <c r="H39" s="256"/>
      <c r="I39" s="253">
        <f t="shared" si="1"/>
        <v>0</v>
      </c>
      <c r="J39" s="256"/>
      <c r="K39" s="256"/>
      <c r="L39" s="253">
        <f t="shared" si="3"/>
        <v>0</v>
      </c>
      <c r="M39" s="257"/>
      <c r="N39" s="257"/>
      <c r="O39" s="253">
        <f t="shared" si="4"/>
        <v>0</v>
      </c>
      <c r="P39" s="253">
        <f t="shared" si="5"/>
        <v>0</v>
      </c>
      <c r="Q39" s="253">
        <f t="shared" si="6"/>
        <v>0</v>
      </c>
      <c r="R39" s="253">
        <f t="shared" si="7"/>
        <v>0</v>
      </c>
      <c r="S39" s="256"/>
      <c r="T39" s="256"/>
      <c r="U39" s="253">
        <f t="shared" si="8"/>
        <v>0</v>
      </c>
      <c r="V39" s="256"/>
      <c r="W39" s="258"/>
      <c r="X39" s="240"/>
    </row>
    <row r="40" spans="1:24" ht="42">
      <c r="A40" s="250" t="s">
        <v>230</v>
      </c>
      <c r="B40" s="247" t="s">
        <v>228</v>
      </c>
      <c r="C40" s="247" t="s">
        <v>197</v>
      </c>
      <c r="D40" s="247" t="s">
        <v>194</v>
      </c>
      <c r="E40" s="259" t="s">
        <v>231</v>
      </c>
      <c r="F40" s="253">
        <f t="shared" si="0"/>
        <v>0</v>
      </c>
      <c r="G40" s="260">
        <f>+G42</f>
        <v>0</v>
      </c>
      <c r="H40" s="260">
        <f>+H42</f>
        <v>0</v>
      </c>
      <c r="I40" s="253">
        <f t="shared" si="1"/>
        <v>0</v>
      </c>
      <c r="J40" s="260">
        <f aca="true" t="shared" si="17" ref="J40:W40">+J42</f>
        <v>0</v>
      </c>
      <c r="K40" s="260">
        <f t="shared" si="17"/>
        <v>0</v>
      </c>
      <c r="L40" s="253">
        <f t="shared" si="3"/>
        <v>0</v>
      </c>
      <c r="M40" s="261">
        <f t="shared" si="17"/>
        <v>0</v>
      </c>
      <c r="N40" s="261">
        <f t="shared" si="17"/>
        <v>0</v>
      </c>
      <c r="O40" s="253">
        <f t="shared" si="4"/>
        <v>0</v>
      </c>
      <c r="P40" s="253">
        <f t="shared" si="5"/>
        <v>0</v>
      </c>
      <c r="Q40" s="253">
        <f t="shared" si="6"/>
        <v>0</v>
      </c>
      <c r="R40" s="253">
        <f t="shared" si="7"/>
        <v>0</v>
      </c>
      <c r="S40" s="260">
        <f t="shared" si="17"/>
        <v>0</v>
      </c>
      <c r="T40" s="260">
        <f t="shared" si="17"/>
        <v>0</v>
      </c>
      <c r="U40" s="253">
        <f t="shared" si="8"/>
        <v>0</v>
      </c>
      <c r="V40" s="260">
        <f t="shared" si="17"/>
        <v>0</v>
      </c>
      <c r="W40" s="260">
        <f t="shared" si="17"/>
        <v>0</v>
      </c>
      <c r="X40" s="240"/>
    </row>
    <row r="41" spans="1:24" ht="10.5">
      <c r="A41" s="250"/>
      <c r="B41" s="247"/>
      <c r="C41" s="247"/>
      <c r="D41" s="247"/>
      <c r="E41" s="255" t="s">
        <v>199</v>
      </c>
      <c r="F41" s="253">
        <f t="shared" si="0"/>
        <v>0</v>
      </c>
      <c r="G41" s="253"/>
      <c r="H41" s="253"/>
      <c r="I41" s="253">
        <f t="shared" si="1"/>
        <v>0</v>
      </c>
      <c r="J41" s="256"/>
      <c r="K41" s="256"/>
      <c r="L41" s="253">
        <f t="shared" si="3"/>
        <v>0</v>
      </c>
      <c r="M41" s="254"/>
      <c r="N41" s="254"/>
      <c r="O41" s="253">
        <f t="shared" si="4"/>
        <v>0</v>
      </c>
      <c r="P41" s="253">
        <f t="shared" si="5"/>
        <v>0</v>
      </c>
      <c r="Q41" s="253">
        <f t="shared" si="6"/>
        <v>0</v>
      </c>
      <c r="R41" s="253">
        <f t="shared" si="7"/>
        <v>0</v>
      </c>
      <c r="S41" s="253"/>
      <c r="T41" s="253"/>
      <c r="U41" s="253">
        <f t="shared" si="8"/>
        <v>0</v>
      </c>
      <c r="V41" s="253"/>
      <c r="W41" s="262"/>
      <c r="X41" s="240"/>
    </row>
    <row r="42" spans="1:24" ht="21">
      <c r="A42" s="250" t="s">
        <v>232</v>
      </c>
      <c r="B42" s="247" t="s">
        <v>228</v>
      </c>
      <c r="C42" s="247" t="s">
        <v>197</v>
      </c>
      <c r="D42" s="247" t="s">
        <v>197</v>
      </c>
      <c r="E42" s="255" t="s">
        <v>233</v>
      </c>
      <c r="F42" s="253">
        <f t="shared" si="0"/>
        <v>0</v>
      </c>
      <c r="G42" s="256"/>
      <c r="H42" s="256"/>
      <c r="I42" s="253">
        <f t="shared" si="1"/>
        <v>0</v>
      </c>
      <c r="J42" s="256"/>
      <c r="K42" s="256"/>
      <c r="L42" s="253">
        <f t="shared" si="3"/>
        <v>0</v>
      </c>
      <c r="M42" s="257"/>
      <c r="N42" s="257"/>
      <c r="O42" s="253">
        <f t="shared" si="4"/>
        <v>0</v>
      </c>
      <c r="P42" s="253">
        <f t="shared" si="5"/>
        <v>0</v>
      </c>
      <c r="Q42" s="253">
        <f t="shared" si="6"/>
        <v>0</v>
      </c>
      <c r="R42" s="253">
        <f t="shared" si="7"/>
        <v>0</v>
      </c>
      <c r="S42" s="256"/>
      <c r="T42" s="256"/>
      <c r="U42" s="253">
        <f t="shared" si="8"/>
        <v>0</v>
      </c>
      <c r="V42" s="256"/>
      <c r="W42" s="258"/>
      <c r="X42" s="240"/>
    </row>
    <row r="43" spans="1:24" ht="42">
      <c r="A43" s="250" t="s">
        <v>234</v>
      </c>
      <c r="B43" s="247" t="s">
        <v>228</v>
      </c>
      <c r="C43" s="247" t="s">
        <v>221</v>
      </c>
      <c r="D43" s="247" t="s">
        <v>194</v>
      </c>
      <c r="E43" s="259" t="s">
        <v>235</v>
      </c>
      <c r="F43" s="253">
        <f t="shared" si="0"/>
        <v>16747.7</v>
      </c>
      <c r="G43" s="260">
        <f>+G45+G46+G47</f>
        <v>3669.6</v>
      </c>
      <c r="H43" s="260">
        <f>+H45+H46+H47</f>
        <v>13078.1</v>
      </c>
      <c r="I43" s="253">
        <f t="shared" si="1"/>
        <v>8608</v>
      </c>
      <c r="J43" s="260">
        <f aca="true" t="shared" si="18" ref="J43:W43">+J47</f>
        <v>0</v>
      </c>
      <c r="K43" s="260">
        <f t="shared" si="18"/>
        <v>8608</v>
      </c>
      <c r="L43" s="253">
        <f t="shared" si="3"/>
        <v>76923</v>
      </c>
      <c r="M43" s="261">
        <f t="shared" si="18"/>
        <v>0</v>
      </c>
      <c r="N43" s="261">
        <f t="shared" si="18"/>
        <v>76923</v>
      </c>
      <c r="O43" s="253">
        <f t="shared" si="4"/>
        <v>68315</v>
      </c>
      <c r="P43" s="253">
        <f t="shared" si="5"/>
        <v>0</v>
      </c>
      <c r="Q43" s="253">
        <f t="shared" si="6"/>
        <v>68315</v>
      </c>
      <c r="R43" s="253">
        <f t="shared" si="7"/>
        <v>172000</v>
      </c>
      <c r="S43" s="260">
        <f t="shared" si="18"/>
        <v>0</v>
      </c>
      <c r="T43" s="260">
        <f t="shared" si="18"/>
        <v>172000</v>
      </c>
      <c r="U43" s="253">
        <f t="shared" si="8"/>
        <v>132000</v>
      </c>
      <c r="V43" s="260">
        <f t="shared" si="18"/>
        <v>0</v>
      </c>
      <c r="W43" s="260">
        <f t="shared" si="18"/>
        <v>132000</v>
      </c>
      <c r="X43" s="240"/>
    </row>
    <row r="44" spans="1:24" ht="10.5">
      <c r="A44" s="250"/>
      <c r="B44" s="247"/>
      <c r="C44" s="247"/>
      <c r="D44" s="247"/>
      <c r="E44" s="255" t="s">
        <v>199</v>
      </c>
      <c r="F44" s="253">
        <f t="shared" si="0"/>
        <v>0</v>
      </c>
      <c r="G44" s="256"/>
      <c r="H44" s="256"/>
      <c r="I44" s="253">
        <f t="shared" si="1"/>
        <v>0</v>
      </c>
      <c r="J44" s="256"/>
      <c r="K44" s="256"/>
      <c r="L44" s="253">
        <f t="shared" si="3"/>
        <v>0</v>
      </c>
      <c r="M44" s="257"/>
      <c r="N44" s="257"/>
      <c r="O44" s="253">
        <f t="shared" si="4"/>
        <v>0</v>
      </c>
      <c r="P44" s="253">
        <f t="shared" si="5"/>
        <v>0</v>
      </c>
      <c r="Q44" s="253">
        <f t="shared" si="6"/>
        <v>0</v>
      </c>
      <c r="R44" s="253">
        <f t="shared" si="7"/>
        <v>0</v>
      </c>
      <c r="S44" s="256"/>
      <c r="T44" s="256"/>
      <c r="U44" s="253">
        <f t="shared" si="8"/>
        <v>0</v>
      </c>
      <c r="V44" s="256"/>
      <c r="W44" s="258"/>
      <c r="X44" s="240"/>
    </row>
    <row r="45" spans="1:24" ht="10.5">
      <c r="A45" s="250">
        <v>2421</v>
      </c>
      <c r="B45" s="247">
        <v>4</v>
      </c>
      <c r="C45" s="247">
        <v>2</v>
      </c>
      <c r="D45" s="247">
        <v>1</v>
      </c>
      <c r="E45" s="255" t="s">
        <v>706</v>
      </c>
      <c r="F45" s="253">
        <f t="shared" si="0"/>
        <v>4394.6</v>
      </c>
      <c r="G45" s="256">
        <v>3184.6</v>
      </c>
      <c r="H45" s="256">
        <v>1210</v>
      </c>
      <c r="I45" s="253"/>
      <c r="J45" s="256"/>
      <c r="K45" s="256"/>
      <c r="L45" s="253"/>
      <c r="M45" s="257"/>
      <c r="N45" s="257"/>
      <c r="O45" s="253">
        <f t="shared" si="4"/>
        <v>0</v>
      </c>
      <c r="P45" s="253">
        <f t="shared" si="5"/>
        <v>0</v>
      </c>
      <c r="Q45" s="253">
        <f t="shared" si="6"/>
        <v>0</v>
      </c>
      <c r="R45" s="253"/>
      <c r="S45" s="256"/>
      <c r="T45" s="256"/>
      <c r="U45" s="253"/>
      <c r="V45" s="256"/>
      <c r="W45" s="258"/>
      <c r="X45" s="240"/>
    </row>
    <row r="46" spans="1:24" ht="10.5">
      <c r="A46" s="250">
        <v>2422</v>
      </c>
      <c r="B46" s="247">
        <v>4</v>
      </c>
      <c r="C46" s="247">
        <v>2</v>
      </c>
      <c r="D46" s="247">
        <v>2</v>
      </c>
      <c r="E46" s="255" t="s">
        <v>707</v>
      </c>
      <c r="F46" s="253">
        <f t="shared" si="0"/>
        <v>125</v>
      </c>
      <c r="G46" s="256">
        <v>125</v>
      </c>
      <c r="H46" s="256"/>
      <c r="I46" s="253"/>
      <c r="J46" s="256"/>
      <c r="K46" s="256"/>
      <c r="L46" s="253"/>
      <c r="M46" s="257"/>
      <c r="N46" s="257"/>
      <c r="O46" s="253">
        <f t="shared" si="4"/>
        <v>0</v>
      </c>
      <c r="P46" s="253">
        <f t="shared" si="5"/>
        <v>0</v>
      </c>
      <c r="Q46" s="253">
        <f t="shared" si="6"/>
        <v>0</v>
      </c>
      <c r="R46" s="253"/>
      <c r="S46" s="256"/>
      <c r="T46" s="256"/>
      <c r="U46" s="253"/>
      <c r="V46" s="256"/>
      <c r="W46" s="258"/>
      <c r="X46" s="240"/>
    </row>
    <row r="47" spans="1:24" ht="21">
      <c r="A47" s="250" t="s">
        <v>236</v>
      </c>
      <c r="B47" s="247" t="s">
        <v>228</v>
      </c>
      <c r="C47" s="247" t="s">
        <v>221</v>
      </c>
      <c r="D47" s="247" t="s">
        <v>237</v>
      </c>
      <c r="E47" s="255" t="s">
        <v>238</v>
      </c>
      <c r="F47" s="253">
        <f t="shared" si="0"/>
        <v>12228.1</v>
      </c>
      <c r="G47" s="253">
        <v>360</v>
      </c>
      <c r="H47" s="253">
        <v>11868.1</v>
      </c>
      <c r="I47" s="253">
        <f t="shared" si="1"/>
        <v>8608</v>
      </c>
      <c r="J47" s="256"/>
      <c r="K47" s="256">
        <v>8608</v>
      </c>
      <c r="L47" s="253">
        <f t="shared" si="3"/>
        <v>76923</v>
      </c>
      <c r="M47" s="254"/>
      <c r="N47" s="254">
        <v>76923</v>
      </c>
      <c r="O47" s="253">
        <f t="shared" si="4"/>
        <v>68315</v>
      </c>
      <c r="P47" s="253">
        <f t="shared" si="5"/>
        <v>0</v>
      </c>
      <c r="Q47" s="253">
        <f t="shared" si="6"/>
        <v>68315</v>
      </c>
      <c r="R47" s="253">
        <f t="shared" si="7"/>
        <v>172000</v>
      </c>
      <c r="S47" s="253"/>
      <c r="T47" s="253">
        <f>45000+2000+10000+25000+50000+40000</f>
        <v>172000</v>
      </c>
      <c r="U47" s="253">
        <f t="shared" si="8"/>
        <v>132000</v>
      </c>
      <c r="V47" s="253"/>
      <c r="W47" s="262">
        <f>30000+2000+15000+35000+50000</f>
        <v>132000</v>
      </c>
      <c r="X47" s="240"/>
    </row>
    <row r="48" spans="1:24" ht="21">
      <c r="A48" s="250" t="s">
        <v>239</v>
      </c>
      <c r="B48" s="247" t="s">
        <v>228</v>
      </c>
      <c r="C48" s="247" t="s">
        <v>203</v>
      </c>
      <c r="D48" s="247" t="s">
        <v>194</v>
      </c>
      <c r="E48" s="259" t="s">
        <v>240</v>
      </c>
      <c r="F48" s="253">
        <f t="shared" si="0"/>
        <v>38725.2</v>
      </c>
      <c r="G48" s="260">
        <f>+G50+G51</f>
        <v>1450.6</v>
      </c>
      <c r="H48" s="260">
        <f>+H50+H51</f>
        <v>37274.6</v>
      </c>
      <c r="I48" s="253">
        <f t="shared" si="1"/>
        <v>15500</v>
      </c>
      <c r="J48" s="260">
        <f aca="true" t="shared" si="19" ref="J48:W48">+J50+J51</f>
        <v>0</v>
      </c>
      <c r="K48" s="260">
        <f t="shared" si="19"/>
        <v>15500</v>
      </c>
      <c r="L48" s="253">
        <f t="shared" si="3"/>
        <v>21120</v>
      </c>
      <c r="M48" s="261">
        <f t="shared" si="19"/>
        <v>0</v>
      </c>
      <c r="N48" s="261">
        <f t="shared" si="19"/>
        <v>21120</v>
      </c>
      <c r="O48" s="253">
        <f t="shared" si="4"/>
        <v>5620</v>
      </c>
      <c r="P48" s="253">
        <f t="shared" si="5"/>
        <v>0</v>
      </c>
      <c r="Q48" s="253">
        <f t="shared" si="6"/>
        <v>5620</v>
      </c>
      <c r="R48" s="253">
        <f t="shared" si="7"/>
        <v>21000</v>
      </c>
      <c r="S48" s="260">
        <f t="shared" si="19"/>
        <v>0</v>
      </c>
      <c r="T48" s="260">
        <f t="shared" si="19"/>
        <v>21000</v>
      </c>
      <c r="U48" s="253">
        <f t="shared" si="8"/>
        <v>36620</v>
      </c>
      <c r="V48" s="260">
        <f t="shared" si="19"/>
        <v>5620</v>
      </c>
      <c r="W48" s="260">
        <f t="shared" si="19"/>
        <v>31000</v>
      </c>
      <c r="X48" s="240"/>
    </row>
    <row r="49" spans="1:24" ht="10.5">
      <c r="A49" s="250"/>
      <c r="B49" s="247"/>
      <c r="C49" s="247"/>
      <c r="D49" s="247"/>
      <c r="E49" s="255" t="s">
        <v>199</v>
      </c>
      <c r="F49" s="253">
        <f t="shared" si="0"/>
        <v>0</v>
      </c>
      <c r="G49" s="253"/>
      <c r="H49" s="253"/>
      <c r="I49" s="253">
        <f t="shared" si="1"/>
        <v>0</v>
      </c>
      <c r="J49" s="256"/>
      <c r="K49" s="256"/>
      <c r="L49" s="253">
        <f t="shared" si="3"/>
        <v>0</v>
      </c>
      <c r="M49" s="254"/>
      <c r="N49" s="254"/>
      <c r="O49" s="253">
        <f t="shared" si="4"/>
        <v>0</v>
      </c>
      <c r="P49" s="253">
        <f t="shared" si="5"/>
        <v>0</v>
      </c>
      <c r="Q49" s="253">
        <f t="shared" si="6"/>
        <v>0</v>
      </c>
      <c r="R49" s="253">
        <f t="shared" si="7"/>
        <v>0</v>
      </c>
      <c r="S49" s="253"/>
      <c r="T49" s="253"/>
      <c r="U49" s="253">
        <f t="shared" si="8"/>
        <v>0</v>
      </c>
      <c r="V49" s="253"/>
      <c r="W49" s="262"/>
      <c r="X49" s="240"/>
    </row>
    <row r="50" spans="1:24" ht="30">
      <c r="A50" s="43" t="s">
        <v>646</v>
      </c>
      <c r="B50" s="43" t="s">
        <v>237</v>
      </c>
      <c r="C50" s="43" t="s">
        <v>203</v>
      </c>
      <c r="D50" s="43" t="s">
        <v>221</v>
      </c>
      <c r="E50" s="43" t="s">
        <v>647</v>
      </c>
      <c r="F50" s="253">
        <f t="shared" si="0"/>
        <v>38725.2</v>
      </c>
      <c r="G50" s="253">
        <v>1450.6</v>
      </c>
      <c r="H50" s="253">
        <v>37274.6</v>
      </c>
      <c r="I50" s="253">
        <f t="shared" si="1"/>
        <v>15500</v>
      </c>
      <c r="J50" s="256"/>
      <c r="K50" s="256">
        <v>15500</v>
      </c>
      <c r="L50" s="253">
        <f t="shared" si="3"/>
        <v>21120</v>
      </c>
      <c r="M50" s="254"/>
      <c r="N50" s="254">
        <v>21120</v>
      </c>
      <c r="O50" s="253">
        <f t="shared" si="4"/>
        <v>5620</v>
      </c>
      <c r="P50" s="253">
        <f t="shared" si="5"/>
        <v>0</v>
      </c>
      <c r="Q50" s="253">
        <f t="shared" si="6"/>
        <v>5620</v>
      </c>
      <c r="R50" s="253">
        <f t="shared" si="7"/>
        <v>21000</v>
      </c>
      <c r="S50" s="253"/>
      <c r="T50" s="253">
        <f>1000+20000</f>
        <v>21000</v>
      </c>
      <c r="U50" s="253">
        <f t="shared" si="8"/>
        <v>36620</v>
      </c>
      <c r="V50" s="253">
        <v>5620</v>
      </c>
      <c r="W50" s="262">
        <f>1000+30000</f>
        <v>31000</v>
      </c>
      <c r="X50" s="240"/>
    </row>
    <row r="51" spans="1:24" ht="21">
      <c r="A51" s="250" t="s">
        <v>241</v>
      </c>
      <c r="B51" s="247" t="s">
        <v>228</v>
      </c>
      <c r="C51" s="247" t="s">
        <v>203</v>
      </c>
      <c r="D51" s="247" t="s">
        <v>210</v>
      </c>
      <c r="E51" s="255" t="s">
        <v>242</v>
      </c>
      <c r="F51" s="253">
        <f t="shared" si="0"/>
        <v>0</v>
      </c>
      <c r="G51" s="256"/>
      <c r="H51" s="256"/>
      <c r="I51" s="253">
        <f t="shared" si="1"/>
        <v>0</v>
      </c>
      <c r="J51" s="256"/>
      <c r="K51" s="256"/>
      <c r="L51" s="253">
        <f t="shared" si="3"/>
        <v>0</v>
      </c>
      <c r="M51" s="257"/>
      <c r="N51" s="257"/>
      <c r="O51" s="253">
        <f t="shared" si="4"/>
        <v>0</v>
      </c>
      <c r="P51" s="253">
        <f t="shared" si="5"/>
        <v>0</v>
      </c>
      <c r="Q51" s="253">
        <f t="shared" si="6"/>
        <v>0</v>
      </c>
      <c r="R51" s="253">
        <f t="shared" si="7"/>
        <v>0</v>
      </c>
      <c r="S51" s="256"/>
      <c r="T51" s="256"/>
      <c r="U51" s="253">
        <f t="shared" si="8"/>
        <v>0</v>
      </c>
      <c r="V51" s="256"/>
      <c r="W51" s="258"/>
      <c r="X51" s="240"/>
    </row>
    <row r="52" spans="1:24" ht="21">
      <c r="A52" s="250" t="s">
        <v>243</v>
      </c>
      <c r="B52" s="247" t="s">
        <v>228</v>
      </c>
      <c r="C52" s="247" t="s">
        <v>210</v>
      </c>
      <c r="D52" s="247" t="s">
        <v>194</v>
      </c>
      <c r="E52" s="259" t="s">
        <v>244</v>
      </c>
      <c r="F52" s="253">
        <f t="shared" si="0"/>
        <v>1557893.7000000002</v>
      </c>
      <c r="G52" s="260">
        <f>+G54+G55</f>
        <v>20463.1</v>
      </c>
      <c r="H52" s="260">
        <f>+H54+H55</f>
        <v>1537430.6</v>
      </c>
      <c r="I52" s="253">
        <f t="shared" si="1"/>
        <v>987649</v>
      </c>
      <c r="J52" s="260">
        <f aca="true" t="shared" si="20" ref="J52:W52">+J54+J55</f>
        <v>0</v>
      </c>
      <c r="K52" s="260">
        <f t="shared" si="20"/>
        <v>987649</v>
      </c>
      <c r="L52" s="253">
        <f t="shared" si="3"/>
        <v>1319580</v>
      </c>
      <c r="M52" s="261">
        <f t="shared" si="20"/>
        <v>0</v>
      </c>
      <c r="N52" s="261">
        <f t="shared" si="20"/>
        <v>1319580</v>
      </c>
      <c r="O52" s="253">
        <f t="shared" si="4"/>
        <v>331931</v>
      </c>
      <c r="P52" s="253">
        <f t="shared" si="5"/>
        <v>0</v>
      </c>
      <c r="Q52" s="253">
        <f t="shared" si="6"/>
        <v>331931</v>
      </c>
      <c r="R52" s="253">
        <f t="shared" si="7"/>
        <v>934000</v>
      </c>
      <c r="S52" s="260">
        <f t="shared" si="20"/>
        <v>0</v>
      </c>
      <c r="T52" s="260">
        <f t="shared" si="20"/>
        <v>934000</v>
      </c>
      <c r="U52" s="253">
        <f t="shared" si="8"/>
        <v>1121500</v>
      </c>
      <c r="V52" s="260">
        <f t="shared" si="20"/>
        <v>0</v>
      </c>
      <c r="W52" s="260">
        <f t="shared" si="20"/>
        <v>1121500</v>
      </c>
      <c r="X52" s="240"/>
    </row>
    <row r="53" spans="1:24" ht="10.5">
      <c r="A53" s="250"/>
      <c r="B53" s="247"/>
      <c r="C53" s="247"/>
      <c r="D53" s="247"/>
      <c r="E53" s="255" t="s">
        <v>199</v>
      </c>
      <c r="F53" s="253">
        <f t="shared" si="0"/>
        <v>0</v>
      </c>
      <c r="G53" s="253"/>
      <c r="H53" s="253"/>
      <c r="I53" s="253">
        <f t="shared" si="1"/>
        <v>0</v>
      </c>
      <c r="J53" s="256"/>
      <c r="K53" s="256"/>
      <c r="L53" s="253">
        <f t="shared" si="3"/>
        <v>0</v>
      </c>
      <c r="M53" s="254"/>
      <c r="N53" s="254"/>
      <c r="O53" s="253">
        <f t="shared" si="4"/>
        <v>0</v>
      </c>
      <c r="P53" s="253">
        <f t="shared" si="5"/>
        <v>0</v>
      </c>
      <c r="Q53" s="253">
        <f t="shared" si="6"/>
        <v>0</v>
      </c>
      <c r="R53" s="253">
        <f t="shared" si="7"/>
        <v>0</v>
      </c>
      <c r="S53" s="253"/>
      <c r="T53" s="253"/>
      <c r="U53" s="253">
        <f t="shared" si="8"/>
        <v>0</v>
      </c>
      <c r="V53" s="253"/>
      <c r="W53" s="262"/>
      <c r="X53" s="240"/>
    </row>
    <row r="54" spans="1:24" ht="21">
      <c r="A54" s="250" t="s">
        <v>245</v>
      </c>
      <c r="B54" s="247" t="s">
        <v>228</v>
      </c>
      <c r="C54" s="247" t="s">
        <v>210</v>
      </c>
      <c r="D54" s="247" t="s">
        <v>197</v>
      </c>
      <c r="E54" s="255" t="s">
        <v>246</v>
      </c>
      <c r="F54" s="253">
        <f t="shared" si="0"/>
        <v>1557893.7000000002</v>
      </c>
      <c r="G54" s="256">
        <v>20463.1</v>
      </c>
      <c r="H54" s="256">
        <v>1537430.6</v>
      </c>
      <c r="I54" s="253">
        <f t="shared" si="1"/>
        <v>987649</v>
      </c>
      <c r="J54" s="256"/>
      <c r="K54" s="256">
        <v>987649</v>
      </c>
      <c r="L54" s="253">
        <f t="shared" si="3"/>
        <v>1319580</v>
      </c>
      <c r="M54" s="257"/>
      <c r="N54" s="257">
        <v>1319580</v>
      </c>
      <c r="O54" s="253">
        <f t="shared" si="4"/>
        <v>331931</v>
      </c>
      <c r="P54" s="253">
        <f t="shared" si="5"/>
        <v>0</v>
      </c>
      <c r="Q54" s="253">
        <f t="shared" si="6"/>
        <v>331931</v>
      </c>
      <c r="R54" s="253">
        <f t="shared" si="7"/>
        <v>934000</v>
      </c>
      <c r="S54" s="256"/>
      <c r="T54" s="256">
        <f>123000+14000+2000+150000+100000+40000+200000+140000+80000+60000+25000</f>
        <v>934000</v>
      </c>
      <c r="U54" s="253">
        <f t="shared" si="8"/>
        <v>1121500</v>
      </c>
      <c r="V54" s="256"/>
      <c r="W54" s="258">
        <f>145000+15000+1500+150000+30000+30000+300000+50000+140000+140000+20000+80000+20000</f>
        <v>1121500</v>
      </c>
      <c r="X54" s="240"/>
    </row>
    <row r="55" spans="1:24" ht="21">
      <c r="A55" s="250" t="s">
        <v>247</v>
      </c>
      <c r="B55" s="247" t="s">
        <v>228</v>
      </c>
      <c r="C55" s="247" t="s">
        <v>210</v>
      </c>
      <c r="D55" s="247" t="s">
        <v>210</v>
      </c>
      <c r="E55" s="255" t="s">
        <v>248</v>
      </c>
      <c r="F55" s="253">
        <f t="shared" si="0"/>
        <v>0</v>
      </c>
      <c r="G55" s="256"/>
      <c r="H55" s="256"/>
      <c r="I55" s="253">
        <f t="shared" si="1"/>
        <v>0</v>
      </c>
      <c r="J55" s="256"/>
      <c r="K55" s="256"/>
      <c r="L55" s="253">
        <f t="shared" si="3"/>
        <v>0</v>
      </c>
      <c r="M55" s="257"/>
      <c r="N55" s="257"/>
      <c r="O55" s="253">
        <f t="shared" si="4"/>
        <v>0</v>
      </c>
      <c r="P55" s="253">
        <f t="shared" si="5"/>
        <v>0</v>
      </c>
      <c r="Q55" s="253">
        <f t="shared" si="6"/>
        <v>0</v>
      </c>
      <c r="R55" s="253">
        <f t="shared" si="7"/>
        <v>0</v>
      </c>
      <c r="S55" s="256"/>
      <c r="T55" s="256"/>
      <c r="U55" s="253">
        <f t="shared" si="8"/>
        <v>0</v>
      </c>
      <c r="V55" s="256"/>
      <c r="W55" s="258"/>
      <c r="X55" s="240"/>
    </row>
    <row r="56" spans="1:24" ht="21">
      <c r="A56" s="250" t="s">
        <v>249</v>
      </c>
      <c r="B56" s="247" t="s">
        <v>228</v>
      </c>
      <c r="C56" s="247" t="s">
        <v>250</v>
      </c>
      <c r="D56" s="247" t="s">
        <v>194</v>
      </c>
      <c r="E56" s="259" t="s">
        <v>251</v>
      </c>
      <c r="F56" s="253">
        <f t="shared" si="0"/>
        <v>0</v>
      </c>
      <c r="G56" s="260">
        <f>+G58</f>
        <v>0</v>
      </c>
      <c r="H56" s="260">
        <f>+H58</f>
        <v>0</v>
      </c>
      <c r="I56" s="253">
        <f t="shared" si="1"/>
        <v>0</v>
      </c>
      <c r="J56" s="260">
        <f aca="true" t="shared" si="21" ref="J56:W56">+J58</f>
        <v>0</v>
      </c>
      <c r="K56" s="260">
        <f t="shared" si="21"/>
        <v>0</v>
      </c>
      <c r="L56" s="253">
        <f t="shared" si="3"/>
        <v>0</v>
      </c>
      <c r="M56" s="261">
        <f t="shared" si="21"/>
        <v>0</v>
      </c>
      <c r="N56" s="261">
        <f t="shared" si="21"/>
        <v>0</v>
      </c>
      <c r="O56" s="253">
        <f t="shared" si="4"/>
        <v>0</v>
      </c>
      <c r="P56" s="253">
        <f t="shared" si="5"/>
        <v>0</v>
      </c>
      <c r="Q56" s="253">
        <f t="shared" si="6"/>
        <v>0</v>
      </c>
      <c r="R56" s="253">
        <f t="shared" si="7"/>
        <v>0</v>
      </c>
      <c r="S56" s="260">
        <f t="shared" si="21"/>
        <v>0</v>
      </c>
      <c r="T56" s="260">
        <f t="shared" si="21"/>
        <v>0</v>
      </c>
      <c r="U56" s="253">
        <f t="shared" si="8"/>
        <v>0</v>
      </c>
      <c r="V56" s="260">
        <f t="shared" si="21"/>
        <v>0</v>
      </c>
      <c r="W56" s="260">
        <f t="shared" si="21"/>
        <v>0</v>
      </c>
      <c r="X56" s="240"/>
    </row>
    <row r="57" spans="1:24" ht="10.5">
      <c r="A57" s="250"/>
      <c r="B57" s="247"/>
      <c r="C57" s="247"/>
      <c r="D57" s="247"/>
      <c r="E57" s="255" t="s">
        <v>199</v>
      </c>
      <c r="F57" s="253">
        <f t="shared" si="0"/>
        <v>0</v>
      </c>
      <c r="G57" s="256"/>
      <c r="H57" s="256"/>
      <c r="I57" s="253">
        <f t="shared" si="1"/>
        <v>0</v>
      </c>
      <c r="J57" s="256"/>
      <c r="K57" s="256"/>
      <c r="L57" s="253">
        <f t="shared" si="3"/>
        <v>0</v>
      </c>
      <c r="M57" s="257"/>
      <c r="N57" s="257"/>
      <c r="O57" s="253">
        <f t="shared" si="4"/>
        <v>0</v>
      </c>
      <c r="P57" s="253">
        <f t="shared" si="5"/>
        <v>0</v>
      </c>
      <c r="Q57" s="253">
        <f t="shared" si="6"/>
        <v>0</v>
      </c>
      <c r="R57" s="253">
        <f t="shared" si="7"/>
        <v>0</v>
      </c>
      <c r="S57" s="256"/>
      <c r="T57" s="256"/>
      <c r="U57" s="253">
        <f t="shared" si="8"/>
        <v>0</v>
      </c>
      <c r="V57" s="256"/>
      <c r="W57" s="258"/>
      <c r="X57" s="240"/>
    </row>
    <row r="58" spans="1:24" ht="21">
      <c r="A58" s="250" t="s">
        <v>252</v>
      </c>
      <c r="B58" s="247" t="s">
        <v>228</v>
      </c>
      <c r="C58" s="247" t="s">
        <v>250</v>
      </c>
      <c r="D58" s="247" t="s">
        <v>203</v>
      </c>
      <c r="E58" s="255" t="s">
        <v>253</v>
      </c>
      <c r="F58" s="253">
        <f t="shared" si="0"/>
        <v>0</v>
      </c>
      <c r="G58" s="256"/>
      <c r="H58" s="256"/>
      <c r="I58" s="253">
        <f t="shared" si="1"/>
        <v>0</v>
      </c>
      <c r="J58" s="256"/>
      <c r="K58" s="256"/>
      <c r="L58" s="253">
        <f t="shared" si="3"/>
        <v>0</v>
      </c>
      <c r="M58" s="257"/>
      <c r="N58" s="257"/>
      <c r="O58" s="253">
        <f t="shared" si="4"/>
        <v>0</v>
      </c>
      <c r="P58" s="253">
        <f t="shared" si="5"/>
        <v>0</v>
      </c>
      <c r="Q58" s="253">
        <f t="shared" si="6"/>
        <v>0</v>
      </c>
      <c r="R58" s="253">
        <f t="shared" si="7"/>
        <v>0</v>
      </c>
      <c r="S58" s="256"/>
      <c r="T58" s="256"/>
      <c r="U58" s="253">
        <f t="shared" si="8"/>
        <v>0</v>
      </c>
      <c r="V58" s="256"/>
      <c r="W58" s="258"/>
      <c r="X58" s="240"/>
    </row>
    <row r="59" spans="1:24" ht="31.5">
      <c r="A59" s="250" t="s">
        <v>254</v>
      </c>
      <c r="B59" s="247" t="s">
        <v>228</v>
      </c>
      <c r="C59" s="247" t="s">
        <v>255</v>
      </c>
      <c r="D59" s="247" t="s">
        <v>194</v>
      </c>
      <c r="E59" s="259" t="s">
        <v>256</v>
      </c>
      <c r="F59" s="253">
        <f t="shared" si="0"/>
        <v>-1338850.3</v>
      </c>
      <c r="G59" s="260">
        <f>+G61</f>
        <v>0</v>
      </c>
      <c r="H59" s="260">
        <f>+H61</f>
        <v>-1338850.3</v>
      </c>
      <c r="I59" s="253">
        <f t="shared" si="1"/>
        <v>-683595.8</v>
      </c>
      <c r="J59" s="260">
        <f aca="true" t="shared" si="22" ref="J59:W59">+J61</f>
        <v>0</v>
      </c>
      <c r="K59" s="260">
        <f t="shared" si="22"/>
        <v>-683595.8</v>
      </c>
      <c r="L59" s="253">
        <f t="shared" si="3"/>
        <v>-1533645</v>
      </c>
      <c r="M59" s="261">
        <f t="shared" si="22"/>
        <v>0</v>
      </c>
      <c r="N59" s="261">
        <f t="shared" si="22"/>
        <v>-1533645</v>
      </c>
      <c r="O59" s="253">
        <f t="shared" si="4"/>
        <v>-850049.2</v>
      </c>
      <c r="P59" s="253">
        <f t="shared" si="5"/>
        <v>0</v>
      </c>
      <c r="Q59" s="253">
        <f t="shared" si="6"/>
        <v>-850049.2</v>
      </c>
      <c r="R59" s="253">
        <f t="shared" si="7"/>
        <v>0</v>
      </c>
      <c r="S59" s="260">
        <f t="shared" si="22"/>
        <v>0</v>
      </c>
      <c r="T59" s="260">
        <f t="shared" si="22"/>
        <v>0</v>
      </c>
      <c r="U59" s="253">
        <f t="shared" si="8"/>
        <v>0</v>
      </c>
      <c r="V59" s="260">
        <f t="shared" si="22"/>
        <v>0</v>
      </c>
      <c r="W59" s="260">
        <f t="shared" si="22"/>
        <v>0</v>
      </c>
      <c r="X59" s="240"/>
    </row>
    <row r="60" spans="1:24" ht="10.5">
      <c r="A60" s="250"/>
      <c r="B60" s="247"/>
      <c r="C60" s="247"/>
      <c r="D60" s="247"/>
      <c r="E60" s="255" t="s">
        <v>199</v>
      </c>
      <c r="F60" s="253">
        <f t="shared" si="0"/>
        <v>0</v>
      </c>
      <c r="G60" s="253"/>
      <c r="H60" s="253"/>
      <c r="I60" s="253">
        <f t="shared" si="1"/>
        <v>0</v>
      </c>
      <c r="J60" s="256"/>
      <c r="K60" s="256"/>
      <c r="L60" s="253">
        <f t="shared" si="3"/>
        <v>0</v>
      </c>
      <c r="M60" s="254"/>
      <c r="N60" s="254"/>
      <c r="O60" s="253">
        <f t="shared" si="4"/>
        <v>0</v>
      </c>
      <c r="P60" s="253">
        <f t="shared" si="5"/>
        <v>0</v>
      </c>
      <c r="Q60" s="253">
        <f t="shared" si="6"/>
        <v>0</v>
      </c>
      <c r="R60" s="253">
        <f t="shared" si="7"/>
        <v>0</v>
      </c>
      <c r="S60" s="253"/>
      <c r="T60" s="253"/>
      <c r="U60" s="253">
        <f t="shared" si="8"/>
        <v>0</v>
      </c>
      <c r="V60" s="253"/>
      <c r="W60" s="262"/>
      <c r="X60" s="240"/>
    </row>
    <row r="61" spans="1:24" ht="21">
      <c r="A61" s="250" t="s">
        <v>257</v>
      </c>
      <c r="B61" s="247" t="s">
        <v>228</v>
      </c>
      <c r="C61" s="247" t="s">
        <v>255</v>
      </c>
      <c r="D61" s="247" t="s">
        <v>197</v>
      </c>
      <c r="E61" s="255" t="s">
        <v>256</v>
      </c>
      <c r="F61" s="253">
        <f t="shared" si="0"/>
        <v>-1338850.3</v>
      </c>
      <c r="G61" s="256"/>
      <c r="H61" s="256">
        <v>-1338850.3</v>
      </c>
      <c r="I61" s="253">
        <f t="shared" si="1"/>
        <v>-683595.8</v>
      </c>
      <c r="J61" s="256"/>
      <c r="K61" s="256">
        <v>-683595.8</v>
      </c>
      <c r="L61" s="253">
        <f t="shared" si="3"/>
        <v>-1533645</v>
      </c>
      <c r="M61" s="257"/>
      <c r="N61" s="257">
        <v>-1533645</v>
      </c>
      <c r="O61" s="253">
        <f t="shared" si="4"/>
        <v>-850049.2</v>
      </c>
      <c r="P61" s="253">
        <f t="shared" si="5"/>
        <v>0</v>
      </c>
      <c r="Q61" s="253">
        <f t="shared" si="6"/>
        <v>-850049.2</v>
      </c>
      <c r="R61" s="253">
        <f t="shared" si="7"/>
        <v>0</v>
      </c>
      <c r="S61" s="256"/>
      <c r="T61" s="256"/>
      <c r="U61" s="253">
        <f t="shared" si="8"/>
        <v>0</v>
      </c>
      <c r="V61" s="256"/>
      <c r="W61" s="258"/>
      <c r="X61" s="240"/>
    </row>
    <row r="62" spans="1:24" ht="21">
      <c r="A62" s="250" t="s">
        <v>258</v>
      </c>
      <c r="B62" s="247" t="s">
        <v>259</v>
      </c>
      <c r="C62" s="247" t="s">
        <v>194</v>
      </c>
      <c r="D62" s="247" t="s">
        <v>194</v>
      </c>
      <c r="E62" s="259" t="s">
        <v>260</v>
      </c>
      <c r="F62" s="253">
        <f t="shared" si="0"/>
        <v>766362.2999999999</v>
      </c>
      <c r="G62" s="260">
        <f>+G64+G67+G70+G73+G75</f>
        <v>655307.3999999999</v>
      </c>
      <c r="H62" s="260">
        <f>+H64+H67+H70+H75</f>
        <v>111054.9</v>
      </c>
      <c r="I62" s="253">
        <f t="shared" si="1"/>
        <v>791062.9</v>
      </c>
      <c r="J62" s="260">
        <f aca="true" t="shared" si="23" ref="J62:W62">+J64+J67+J70+J75</f>
        <v>598575.9</v>
      </c>
      <c r="K62" s="260">
        <f t="shared" si="23"/>
        <v>192487</v>
      </c>
      <c r="L62" s="253">
        <f t="shared" si="3"/>
        <v>703000</v>
      </c>
      <c r="M62" s="261">
        <f t="shared" si="23"/>
        <v>663000</v>
      </c>
      <c r="N62" s="261">
        <f t="shared" si="23"/>
        <v>40000</v>
      </c>
      <c r="O62" s="253">
        <f t="shared" si="4"/>
        <v>-88062.90000000002</v>
      </c>
      <c r="P62" s="253">
        <f t="shared" si="5"/>
        <v>64424.09999999998</v>
      </c>
      <c r="Q62" s="253">
        <f t="shared" si="6"/>
        <v>-152487</v>
      </c>
      <c r="R62" s="253">
        <f t="shared" si="7"/>
        <v>765992</v>
      </c>
      <c r="S62" s="260">
        <f t="shared" si="23"/>
        <v>665992</v>
      </c>
      <c r="T62" s="260">
        <f t="shared" si="23"/>
        <v>100000</v>
      </c>
      <c r="U62" s="253">
        <f t="shared" si="8"/>
        <v>870000</v>
      </c>
      <c r="V62" s="260">
        <f t="shared" si="23"/>
        <v>700000</v>
      </c>
      <c r="W62" s="260">
        <f t="shared" si="23"/>
        <v>170000</v>
      </c>
      <c r="X62" s="240"/>
    </row>
    <row r="63" spans="1:24" ht="10.5">
      <c r="A63" s="250"/>
      <c r="B63" s="247"/>
      <c r="C63" s="247"/>
      <c r="D63" s="247"/>
      <c r="E63" s="255" t="s">
        <v>5</v>
      </c>
      <c r="F63" s="253">
        <f t="shared" si="0"/>
        <v>0</v>
      </c>
      <c r="G63" s="253"/>
      <c r="H63" s="253"/>
      <c r="I63" s="253"/>
      <c r="J63" s="256"/>
      <c r="K63" s="256"/>
      <c r="L63" s="253">
        <f t="shared" si="3"/>
        <v>0</v>
      </c>
      <c r="M63" s="254"/>
      <c r="N63" s="254"/>
      <c r="O63" s="253">
        <f t="shared" si="4"/>
        <v>0</v>
      </c>
      <c r="P63" s="253">
        <f t="shared" si="5"/>
        <v>0</v>
      </c>
      <c r="Q63" s="253">
        <f t="shared" si="6"/>
        <v>0</v>
      </c>
      <c r="R63" s="253">
        <f t="shared" si="7"/>
        <v>0</v>
      </c>
      <c r="S63" s="253"/>
      <c r="T63" s="253"/>
      <c r="U63" s="253">
        <f t="shared" si="8"/>
        <v>0</v>
      </c>
      <c r="V63" s="253"/>
      <c r="W63" s="262"/>
      <c r="X63" s="240"/>
    </row>
    <row r="64" spans="1:24" ht="21">
      <c r="A64" s="250" t="s">
        <v>261</v>
      </c>
      <c r="B64" s="247" t="s">
        <v>259</v>
      </c>
      <c r="C64" s="247" t="s">
        <v>197</v>
      </c>
      <c r="D64" s="247" t="s">
        <v>194</v>
      </c>
      <c r="E64" s="259" t="s">
        <v>262</v>
      </c>
      <c r="F64" s="253">
        <f t="shared" si="0"/>
        <v>655370.7</v>
      </c>
      <c r="G64" s="260">
        <f>+G66</f>
        <v>608615.6</v>
      </c>
      <c r="H64" s="260">
        <f>+H66</f>
        <v>46755.1</v>
      </c>
      <c r="I64" s="253">
        <f t="shared" si="1"/>
        <v>580991.9</v>
      </c>
      <c r="J64" s="260">
        <f aca="true" t="shared" si="24" ref="J64:W64">+J66</f>
        <v>565991.9</v>
      </c>
      <c r="K64" s="260">
        <f t="shared" si="24"/>
        <v>15000</v>
      </c>
      <c r="L64" s="253">
        <f t="shared" si="3"/>
        <v>651000</v>
      </c>
      <c r="M64" s="261">
        <f t="shared" si="24"/>
        <v>631000</v>
      </c>
      <c r="N64" s="261">
        <f t="shared" si="24"/>
        <v>20000</v>
      </c>
      <c r="O64" s="253">
        <f t="shared" si="4"/>
        <v>70008.09999999998</v>
      </c>
      <c r="P64" s="253">
        <f t="shared" si="5"/>
        <v>65008.09999999998</v>
      </c>
      <c r="Q64" s="253">
        <f t="shared" si="6"/>
        <v>5000</v>
      </c>
      <c r="R64" s="253">
        <f t="shared" si="7"/>
        <v>715992</v>
      </c>
      <c r="S64" s="260">
        <f t="shared" si="24"/>
        <v>665992</v>
      </c>
      <c r="T64" s="260">
        <f t="shared" si="24"/>
        <v>50000</v>
      </c>
      <c r="U64" s="253">
        <f t="shared" si="8"/>
        <v>750000</v>
      </c>
      <c r="V64" s="260">
        <f t="shared" si="24"/>
        <v>700000</v>
      </c>
      <c r="W64" s="260">
        <f t="shared" si="24"/>
        <v>50000</v>
      </c>
      <c r="X64" s="240"/>
    </row>
    <row r="65" spans="1:24" ht="10.5">
      <c r="A65" s="250"/>
      <c r="B65" s="247"/>
      <c r="C65" s="247"/>
      <c r="D65" s="247"/>
      <c r="E65" s="255" t="s">
        <v>199</v>
      </c>
      <c r="F65" s="253">
        <f t="shared" si="0"/>
        <v>0</v>
      </c>
      <c r="G65" s="253"/>
      <c r="H65" s="253"/>
      <c r="I65" s="253">
        <f t="shared" si="1"/>
        <v>0</v>
      </c>
      <c r="J65" s="256"/>
      <c r="K65" s="256"/>
      <c r="L65" s="253">
        <f t="shared" si="3"/>
        <v>0</v>
      </c>
      <c r="M65" s="254"/>
      <c r="N65" s="254"/>
      <c r="O65" s="253">
        <f t="shared" si="4"/>
        <v>0</v>
      </c>
      <c r="P65" s="253">
        <f t="shared" si="5"/>
        <v>0</v>
      </c>
      <c r="Q65" s="253">
        <f t="shared" si="6"/>
        <v>0</v>
      </c>
      <c r="R65" s="253">
        <f t="shared" si="7"/>
        <v>0</v>
      </c>
      <c r="S65" s="253"/>
      <c r="T65" s="253"/>
      <c r="U65" s="253">
        <f t="shared" si="8"/>
        <v>0</v>
      </c>
      <c r="V65" s="253"/>
      <c r="W65" s="262"/>
      <c r="X65" s="240"/>
    </row>
    <row r="66" spans="1:24" ht="21">
      <c r="A66" s="250" t="s">
        <v>263</v>
      </c>
      <c r="B66" s="247" t="s">
        <v>259</v>
      </c>
      <c r="C66" s="247" t="s">
        <v>197</v>
      </c>
      <c r="D66" s="247" t="s">
        <v>197</v>
      </c>
      <c r="E66" s="255" t="s">
        <v>262</v>
      </c>
      <c r="F66" s="253">
        <f t="shared" si="0"/>
        <v>655370.7</v>
      </c>
      <c r="G66" s="256">
        <v>608615.6</v>
      </c>
      <c r="H66" s="256">
        <v>46755.1</v>
      </c>
      <c r="I66" s="253">
        <f t="shared" si="1"/>
        <v>580991.9</v>
      </c>
      <c r="J66" s="256">
        <v>565991.9</v>
      </c>
      <c r="K66" s="256">
        <v>15000</v>
      </c>
      <c r="L66" s="253">
        <f t="shared" si="3"/>
        <v>651000</v>
      </c>
      <c r="M66" s="257">
        <v>631000</v>
      </c>
      <c r="N66" s="257">
        <v>20000</v>
      </c>
      <c r="O66" s="253">
        <f t="shared" si="4"/>
        <v>70008.09999999998</v>
      </c>
      <c r="P66" s="253">
        <f t="shared" si="5"/>
        <v>65008.09999999998</v>
      </c>
      <c r="Q66" s="253">
        <f t="shared" si="6"/>
        <v>5000</v>
      </c>
      <c r="R66" s="253">
        <f t="shared" si="7"/>
        <v>715992</v>
      </c>
      <c r="S66" s="256">
        <v>665992</v>
      </c>
      <c r="T66" s="256">
        <v>50000</v>
      </c>
      <c r="U66" s="253">
        <f t="shared" si="8"/>
        <v>750000</v>
      </c>
      <c r="V66" s="256">
        <v>700000</v>
      </c>
      <c r="W66" s="258">
        <v>50000</v>
      </c>
      <c r="X66" s="240"/>
    </row>
    <row r="67" spans="1:24" ht="21">
      <c r="A67" s="250" t="s">
        <v>264</v>
      </c>
      <c r="B67" s="247" t="s">
        <v>259</v>
      </c>
      <c r="C67" s="247" t="s">
        <v>221</v>
      </c>
      <c r="D67" s="247" t="s">
        <v>194</v>
      </c>
      <c r="E67" s="259" t="s">
        <v>265</v>
      </c>
      <c r="F67" s="253">
        <f t="shared" si="0"/>
        <v>21422.6</v>
      </c>
      <c r="G67" s="260">
        <f>+G69</f>
        <v>5290</v>
      </c>
      <c r="H67" s="260">
        <f>+H69</f>
        <v>16132.6</v>
      </c>
      <c r="I67" s="253">
        <f t="shared" si="1"/>
        <v>117487</v>
      </c>
      <c r="J67" s="260">
        <f aca="true" t="shared" si="25" ref="J67:W67">+J69</f>
        <v>0</v>
      </c>
      <c r="K67" s="260">
        <f t="shared" si="25"/>
        <v>117487</v>
      </c>
      <c r="L67" s="253">
        <f t="shared" si="3"/>
        <v>0</v>
      </c>
      <c r="M67" s="261">
        <f t="shared" si="25"/>
        <v>0</v>
      </c>
      <c r="N67" s="261">
        <f t="shared" si="25"/>
        <v>0</v>
      </c>
      <c r="O67" s="253">
        <f t="shared" si="4"/>
        <v>-117487</v>
      </c>
      <c r="P67" s="253">
        <f t="shared" si="5"/>
        <v>0</v>
      </c>
      <c r="Q67" s="253">
        <f t="shared" si="6"/>
        <v>-117487</v>
      </c>
      <c r="R67" s="253">
        <f t="shared" si="7"/>
        <v>50000</v>
      </c>
      <c r="S67" s="260">
        <f t="shared" si="25"/>
        <v>0</v>
      </c>
      <c r="T67" s="260">
        <f t="shared" si="25"/>
        <v>50000</v>
      </c>
      <c r="U67" s="253">
        <f t="shared" si="8"/>
        <v>120000</v>
      </c>
      <c r="V67" s="260">
        <f t="shared" si="25"/>
        <v>0</v>
      </c>
      <c r="W67" s="260">
        <f t="shared" si="25"/>
        <v>120000</v>
      </c>
      <c r="X67" s="240"/>
    </row>
    <row r="68" spans="1:24" ht="10.5">
      <c r="A68" s="250"/>
      <c r="B68" s="247"/>
      <c r="C68" s="247"/>
      <c r="D68" s="247"/>
      <c r="E68" s="255" t="s">
        <v>199</v>
      </c>
      <c r="F68" s="253">
        <f t="shared" si="0"/>
        <v>0</v>
      </c>
      <c r="G68" s="253"/>
      <c r="H68" s="253"/>
      <c r="I68" s="253">
        <f t="shared" si="1"/>
        <v>0</v>
      </c>
      <c r="J68" s="256"/>
      <c r="K68" s="256"/>
      <c r="L68" s="253">
        <f t="shared" si="3"/>
        <v>0</v>
      </c>
      <c r="M68" s="254"/>
      <c r="N68" s="254"/>
      <c r="O68" s="253">
        <f t="shared" si="4"/>
        <v>0</v>
      </c>
      <c r="P68" s="253">
        <f t="shared" si="5"/>
        <v>0</v>
      </c>
      <c r="Q68" s="253">
        <f t="shared" si="6"/>
        <v>0</v>
      </c>
      <c r="R68" s="253">
        <f t="shared" si="7"/>
        <v>0</v>
      </c>
      <c r="S68" s="253"/>
      <c r="T68" s="253"/>
      <c r="U68" s="253">
        <f t="shared" si="8"/>
        <v>0</v>
      </c>
      <c r="V68" s="253"/>
      <c r="W68" s="262"/>
      <c r="X68" s="240"/>
    </row>
    <row r="69" spans="1:24" ht="21">
      <c r="A69" s="250" t="s">
        <v>266</v>
      </c>
      <c r="B69" s="247" t="s">
        <v>259</v>
      </c>
      <c r="C69" s="247" t="s">
        <v>221</v>
      </c>
      <c r="D69" s="247" t="s">
        <v>197</v>
      </c>
      <c r="E69" s="255" t="s">
        <v>265</v>
      </c>
      <c r="F69" s="253">
        <f t="shared" si="0"/>
        <v>21422.6</v>
      </c>
      <c r="G69" s="256">
        <v>5290</v>
      </c>
      <c r="H69" s="256">
        <v>16132.6</v>
      </c>
      <c r="I69" s="253">
        <f t="shared" si="1"/>
        <v>117487</v>
      </c>
      <c r="J69" s="256"/>
      <c r="K69" s="256">
        <v>117487</v>
      </c>
      <c r="L69" s="253">
        <f t="shared" si="3"/>
        <v>0</v>
      </c>
      <c r="M69" s="257"/>
      <c r="N69" s="257"/>
      <c r="O69" s="253">
        <f t="shared" si="4"/>
        <v>-117487</v>
      </c>
      <c r="P69" s="253">
        <f t="shared" si="5"/>
        <v>0</v>
      </c>
      <c r="Q69" s="253">
        <f t="shared" si="6"/>
        <v>-117487</v>
      </c>
      <c r="R69" s="253">
        <f t="shared" si="7"/>
        <v>50000</v>
      </c>
      <c r="S69" s="256"/>
      <c r="T69" s="256">
        <v>50000</v>
      </c>
      <c r="U69" s="253">
        <f t="shared" si="8"/>
        <v>120000</v>
      </c>
      <c r="V69" s="256"/>
      <c r="W69" s="258">
        <f>70000+50000</f>
        <v>120000</v>
      </c>
      <c r="X69" s="240"/>
    </row>
    <row r="70" spans="1:24" ht="21">
      <c r="A70" s="250" t="s">
        <v>267</v>
      </c>
      <c r="B70" s="247" t="s">
        <v>259</v>
      </c>
      <c r="C70" s="247" t="s">
        <v>203</v>
      </c>
      <c r="D70" s="247" t="s">
        <v>194</v>
      </c>
      <c r="E70" s="259" t="s">
        <v>268</v>
      </c>
      <c r="F70" s="253">
        <f t="shared" si="0"/>
        <v>28141.199999999997</v>
      </c>
      <c r="G70" s="260">
        <f>+G72</f>
        <v>4426.9</v>
      </c>
      <c r="H70" s="260">
        <f>+H72</f>
        <v>23714.3</v>
      </c>
      <c r="I70" s="253">
        <f t="shared" si="1"/>
        <v>0</v>
      </c>
      <c r="J70" s="260">
        <f aca="true" t="shared" si="26" ref="J70:W70">+J72</f>
        <v>0</v>
      </c>
      <c r="K70" s="260">
        <f t="shared" si="26"/>
        <v>0</v>
      </c>
      <c r="L70" s="253">
        <f t="shared" si="3"/>
        <v>0</v>
      </c>
      <c r="M70" s="261">
        <f t="shared" si="26"/>
        <v>0</v>
      </c>
      <c r="N70" s="261">
        <f t="shared" si="26"/>
        <v>0</v>
      </c>
      <c r="O70" s="253">
        <f t="shared" si="4"/>
        <v>0</v>
      </c>
      <c r="P70" s="253">
        <f t="shared" si="5"/>
        <v>0</v>
      </c>
      <c r="Q70" s="253">
        <f t="shared" si="6"/>
        <v>0</v>
      </c>
      <c r="R70" s="253">
        <f t="shared" si="7"/>
        <v>0</v>
      </c>
      <c r="S70" s="260">
        <f t="shared" si="26"/>
        <v>0</v>
      </c>
      <c r="T70" s="260">
        <f t="shared" si="26"/>
        <v>0</v>
      </c>
      <c r="U70" s="253">
        <f t="shared" si="8"/>
        <v>0</v>
      </c>
      <c r="V70" s="260">
        <f t="shared" si="26"/>
        <v>0</v>
      </c>
      <c r="W70" s="260">
        <f t="shared" si="26"/>
        <v>0</v>
      </c>
      <c r="X70" s="240"/>
    </row>
    <row r="71" spans="1:24" ht="10.5">
      <c r="A71" s="250"/>
      <c r="B71" s="247"/>
      <c r="C71" s="247"/>
      <c r="D71" s="247"/>
      <c r="E71" s="255" t="s">
        <v>199</v>
      </c>
      <c r="F71" s="253">
        <f t="shared" si="0"/>
        <v>0</v>
      </c>
      <c r="G71" s="256"/>
      <c r="H71" s="256"/>
      <c r="I71" s="253">
        <f t="shared" si="1"/>
        <v>0</v>
      </c>
      <c r="J71" s="256"/>
      <c r="K71" s="256"/>
      <c r="L71" s="253">
        <f t="shared" si="3"/>
        <v>0</v>
      </c>
      <c r="M71" s="257"/>
      <c r="N71" s="257"/>
      <c r="O71" s="253">
        <f t="shared" si="4"/>
        <v>0</v>
      </c>
      <c r="P71" s="253">
        <f t="shared" si="5"/>
        <v>0</v>
      </c>
      <c r="Q71" s="253">
        <f t="shared" si="6"/>
        <v>0</v>
      </c>
      <c r="R71" s="253">
        <f t="shared" si="7"/>
        <v>0</v>
      </c>
      <c r="S71" s="256"/>
      <c r="T71" s="256"/>
      <c r="U71" s="253">
        <f t="shared" si="8"/>
        <v>0</v>
      </c>
      <c r="V71" s="256"/>
      <c r="W71" s="258"/>
      <c r="X71" s="240"/>
    </row>
    <row r="72" spans="1:24" ht="21">
      <c r="A72" s="250" t="s">
        <v>269</v>
      </c>
      <c r="B72" s="247" t="s">
        <v>259</v>
      </c>
      <c r="C72" s="247" t="s">
        <v>203</v>
      </c>
      <c r="D72" s="247" t="s">
        <v>197</v>
      </c>
      <c r="E72" s="255" t="s">
        <v>270</v>
      </c>
      <c r="F72" s="253">
        <f t="shared" si="0"/>
        <v>28141.199999999997</v>
      </c>
      <c r="G72" s="256">
        <v>4426.9</v>
      </c>
      <c r="H72" s="256">
        <v>23714.3</v>
      </c>
      <c r="I72" s="253">
        <f t="shared" si="1"/>
        <v>0</v>
      </c>
      <c r="J72" s="256"/>
      <c r="K72" s="256"/>
      <c r="L72" s="253">
        <f t="shared" si="3"/>
        <v>0</v>
      </c>
      <c r="M72" s="257"/>
      <c r="N72" s="257"/>
      <c r="O72" s="253">
        <f t="shared" si="4"/>
        <v>0</v>
      </c>
      <c r="P72" s="253">
        <f t="shared" si="5"/>
        <v>0</v>
      </c>
      <c r="Q72" s="253">
        <f t="shared" si="6"/>
        <v>0</v>
      </c>
      <c r="R72" s="253">
        <f t="shared" si="7"/>
        <v>0</v>
      </c>
      <c r="S72" s="256"/>
      <c r="T72" s="256"/>
      <c r="U72" s="253">
        <f t="shared" si="8"/>
        <v>0</v>
      </c>
      <c r="V72" s="256"/>
      <c r="W72" s="258"/>
      <c r="X72" s="240"/>
    </row>
    <row r="73" spans="1:24" ht="21">
      <c r="A73" s="250">
        <v>2540</v>
      </c>
      <c r="B73" s="247">
        <v>5</v>
      </c>
      <c r="C73" s="247">
        <v>4</v>
      </c>
      <c r="D73" s="247">
        <v>0</v>
      </c>
      <c r="E73" s="255" t="s">
        <v>708</v>
      </c>
      <c r="F73" s="253">
        <f t="shared" si="0"/>
        <v>31.2</v>
      </c>
      <c r="G73" s="256">
        <f>+G74</f>
        <v>31.2</v>
      </c>
      <c r="H73" s="256">
        <f>+H74</f>
        <v>0</v>
      </c>
      <c r="I73" s="253"/>
      <c r="J73" s="256"/>
      <c r="K73" s="256"/>
      <c r="L73" s="253"/>
      <c r="M73" s="257"/>
      <c r="N73" s="257"/>
      <c r="O73" s="253">
        <f t="shared" si="4"/>
        <v>0</v>
      </c>
      <c r="P73" s="253">
        <f t="shared" si="5"/>
        <v>0</v>
      </c>
      <c r="Q73" s="253">
        <f t="shared" si="6"/>
        <v>0</v>
      </c>
      <c r="R73" s="253"/>
      <c r="S73" s="256"/>
      <c r="T73" s="256"/>
      <c r="U73" s="253"/>
      <c r="V73" s="256"/>
      <c r="W73" s="258"/>
      <c r="X73" s="240"/>
    </row>
    <row r="74" spans="1:24" ht="21">
      <c r="A74" s="250">
        <v>2541</v>
      </c>
      <c r="B74" s="247">
        <v>5</v>
      </c>
      <c r="C74" s="247">
        <v>4</v>
      </c>
      <c r="D74" s="247">
        <v>1</v>
      </c>
      <c r="E74" s="255" t="s">
        <v>709</v>
      </c>
      <c r="F74" s="253">
        <f t="shared" si="0"/>
        <v>31.2</v>
      </c>
      <c r="G74" s="256">
        <v>31.2</v>
      </c>
      <c r="H74" s="256"/>
      <c r="I74" s="253"/>
      <c r="J74" s="256"/>
      <c r="K74" s="256"/>
      <c r="L74" s="253"/>
      <c r="M74" s="257"/>
      <c r="N74" s="257"/>
      <c r="O74" s="253">
        <f t="shared" si="4"/>
        <v>0</v>
      </c>
      <c r="P74" s="253">
        <f t="shared" si="5"/>
        <v>0</v>
      </c>
      <c r="Q74" s="253">
        <f t="shared" si="6"/>
        <v>0</v>
      </c>
      <c r="R74" s="253"/>
      <c r="S74" s="256"/>
      <c r="T74" s="256"/>
      <c r="U74" s="253"/>
      <c r="V74" s="256"/>
      <c r="W74" s="258"/>
      <c r="X74" s="240"/>
    </row>
    <row r="75" spans="1:24" ht="31.5">
      <c r="A75" s="250" t="s">
        <v>271</v>
      </c>
      <c r="B75" s="247" t="s">
        <v>259</v>
      </c>
      <c r="C75" s="247" t="s">
        <v>214</v>
      </c>
      <c r="D75" s="247" t="s">
        <v>194</v>
      </c>
      <c r="E75" s="259" t="s">
        <v>272</v>
      </c>
      <c r="F75" s="253">
        <f t="shared" si="0"/>
        <v>61396.6</v>
      </c>
      <c r="G75" s="260">
        <f>+G77</f>
        <v>36943.7</v>
      </c>
      <c r="H75" s="260">
        <f>+H77</f>
        <v>24452.9</v>
      </c>
      <c r="I75" s="253">
        <f t="shared" si="1"/>
        <v>92584</v>
      </c>
      <c r="J75" s="260">
        <f aca="true" t="shared" si="27" ref="J75:W75">+J77</f>
        <v>32584</v>
      </c>
      <c r="K75" s="260">
        <f t="shared" si="27"/>
        <v>60000</v>
      </c>
      <c r="L75" s="253">
        <f t="shared" si="3"/>
        <v>52000</v>
      </c>
      <c r="M75" s="261">
        <f t="shared" si="27"/>
        <v>32000</v>
      </c>
      <c r="N75" s="261">
        <f t="shared" si="27"/>
        <v>20000</v>
      </c>
      <c r="O75" s="253">
        <f aca="true" t="shared" si="28" ref="O75:O138">+L75-I75</f>
        <v>-40584</v>
      </c>
      <c r="P75" s="253">
        <f aca="true" t="shared" si="29" ref="P75:P138">+M75-J75</f>
        <v>-584</v>
      </c>
      <c r="Q75" s="253">
        <f aca="true" t="shared" si="30" ref="Q75:Q138">+N75-K75</f>
        <v>-40000</v>
      </c>
      <c r="R75" s="253">
        <f t="shared" si="7"/>
        <v>0</v>
      </c>
      <c r="S75" s="260">
        <f t="shared" si="27"/>
        <v>0</v>
      </c>
      <c r="T75" s="260">
        <f t="shared" si="27"/>
        <v>0</v>
      </c>
      <c r="U75" s="253">
        <f t="shared" si="8"/>
        <v>0</v>
      </c>
      <c r="V75" s="260">
        <f t="shared" si="27"/>
        <v>0</v>
      </c>
      <c r="W75" s="260">
        <f t="shared" si="27"/>
        <v>0</v>
      </c>
      <c r="X75" s="240"/>
    </row>
    <row r="76" spans="1:24" ht="10.5">
      <c r="A76" s="250"/>
      <c r="B76" s="247"/>
      <c r="C76" s="247"/>
      <c r="D76" s="247"/>
      <c r="E76" s="255" t="s">
        <v>199</v>
      </c>
      <c r="F76" s="253">
        <f t="shared" si="0"/>
        <v>0</v>
      </c>
      <c r="G76" s="256"/>
      <c r="H76" s="256"/>
      <c r="I76" s="253">
        <f t="shared" si="1"/>
        <v>0</v>
      </c>
      <c r="J76" s="256"/>
      <c r="K76" s="256"/>
      <c r="L76" s="253">
        <f t="shared" si="3"/>
        <v>0</v>
      </c>
      <c r="M76" s="257"/>
      <c r="N76" s="257"/>
      <c r="O76" s="253">
        <f t="shared" si="28"/>
        <v>0</v>
      </c>
      <c r="P76" s="253">
        <f t="shared" si="29"/>
        <v>0</v>
      </c>
      <c r="Q76" s="253">
        <f t="shared" si="30"/>
        <v>0</v>
      </c>
      <c r="R76" s="253">
        <f t="shared" si="7"/>
        <v>0</v>
      </c>
      <c r="S76" s="256"/>
      <c r="T76" s="256"/>
      <c r="U76" s="253">
        <f t="shared" si="8"/>
        <v>0</v>
      </c>
      <c r="V76" s="256"/>
      <c r="W76" s="258"/>
      <c r="X76" s="240"/>
    </row>
    <row r="77" spans="1:24" ht="31.5">
      <c r="A77" s="250" t="s">
        <v>273</v>
      </c>
      <c r="B77" s="247" t="s">
        <v>259</v>
      </c>
      <c r="C77" s="247" t="s">
        <v>214</v>
      </c>
      <c r="D77" s="247" t="s">
        <v>197</v>
      </c>
      <c r="E77" s="255" t="s">
        <v>272</v>
      </c>
      <c r="F77" s="253">
        <f t="shared" si="0"/>
        <v>61396.6</v>
      </c>
      <c r="G77" s="256">
        <v>36943.7</v>
      </c>
      <c r="H77" s="256">
        <v>24452.9</v>
      </c>
      <c r="I77" s="253">
        <f t="shared" si="1"/>
        <v>92584</v>
      </c>
      <c r="J77" s="256">
        <v>32584</v>
      </c>
      <c r="K77" s="256">
        <v>60000</v>
      </c>
      <c r="L77" s="253">
        <f t="shared" si="3"/>
        <v>52000</v>
      </c>
      <c r="M77" s="257">
        <v>32000</v>
      </c>
      <c r="N77" s="257">
        <v>20000</v>
      </c>
      <c r="O77" s="253">
        <f t="shared" si="28"/>
        <v>-40584</v>
      </c>
      <c r="P77" s="253">
        <f t="shared" si="29"/>
        <v>-584</v>
      </c>
      <c r="Q77" s="253">
        <f t="shared" si="30"/>
        <v>-40000</v>
      </c>
      <c r="R77" s="253">
        <f t="shared" si="7"/>
        <v>0</v>
      </c>
      <c r="S77" s="256"/>
      <c r="T77" s="256"/>
      <c r="U77" s="253">
        <f t="shared" si="8"/>
        <v>0</v>
      </c>
      <c r="V77" s="256"/>
      <c r="W77" s="258"/>
      <c r="X77" s="240"/>
    </row>
    <row r="78" spans="1:24" ht="42">
      <c r="A78" s="250" t="s">
        <v>274</v>
      </c>
      <c r="B78" s="247" t="s">
        <v>275</v>
      </c>
      <c r="C78" s="247" t="s">
        <v>194</v>
      </c>
      <c r="D78" s="247" t="s">
        <v>194</v>
      </c>
      <c r="E78" s="259" t="s">
        <v>276</v>
      </c>
      <c r="F78" s="253">
        <f t="shared" si="0"/>
        <v>389572.2</v>
      </c>
      <c r="G78" s="260">
        <f>+G80+G87+G90+G93+G83+G85</f>
        <v>143345</v>
      </c>
      <c r="H78" s="260">
        <f>+H80+H87+H90+H93+H83+H85</f>
        <v>246227.2</v>
      </c>
      <c r="I78" s="253">
        <f t="shared" si="1"/>
        <v>503550</v>
      </c>
      <c r="J78" s="260">
        <f aca="true" t="shared" si="31" ref="J78:W78">+J80+J87+J90+J93</f>
        <v>227256</v>
      </c>
      <c r="K78" s="260">
        <f t="shared" si="31"/>
        <v>276294</v>
      </c>
      <c r="L78" s="253">
        <f t="shared" si="3"/>
        <v>351148</v>
      </c>
      <c r="M78" s="261">
        <f t="shared" si="31"/>
        <v>220000</v>
      </c>
      <c r="N78" s="261">
        <f t="shared" si="31"/>
        <v>131148</v>
      </c>
      <c r="O78" s="253">
        <f t="shared" si="28"/>
        <v>-152402</v>
      </c>
      <c r="P78" s="253">
        <f t="shared" si="29"/>
        <v>-7256</v>
      </c>
      <c r="Q78" s="253">
        <f t="shared" si="30"/>
        <v>-145146</v>
      </c>
      <c r="R78" s="253">
        <f t="shared" si="7"/>
        <v>423000</v>
      </c>
      <c r="S78" s="260">
        <f t="shared" si="31"/>
        <v>228000</v>
      </c>
      <c r="T78" s="260">
        <f t="shared" si="31"/>
        <v>195000</v>
      </c>
      <c r="U78" s="253">
        <f t="shared" si="8"/>
        <v>401000</v>
      </c>
      <c r="V78" s="260">
        <f t="shared" si="31"/>
        <v>228000</v>
      </c>
      <c r="W78" s="260">
        <f t="shared" si="31"/>
        <v>173000</v>
      </c>
      <c r="X78" s="240"/>
    </row>
    <row r="79" spans="1:24" ht="10.5">
      <c r="A79" s="250"/>
      <c r="B79" s="247"/>
      <c r="C79" s="247"/>
      <c r="D79" s="247"/>
      <c r="E79" s="255" t="s">
        <v>5</v>
      </c>
      <c r="F79" s="253">
        <f t="shared" si="0"/>
        <v>0</v>
      </c>
      <c r="G79" s="256"/>
      <c r="H79" s="256"/>
      <c r="I79" s="253">
        <f t="shared" si="1"/>
        <v>0</v>
      </c>
      <c r="J79" s="256"/>
      <c r="K79" s="256"/>
      <c r="L79" s="253">
        <f t="shared" si="3"/>
        <v>0</v>
      </c>
      <c r="M79" s="257"/>
      <c r="N79" s="257"/>
      <c r="O79" s="253">
        <f t="shared" si="28"/>
        <v>0</v>
      </c>
      <c r="P79" s="253">
        <f t="shared" si="29"/>
        <v>0</v>
      </c>
      <c r="Q79" s="253">
        <f t="shared" si="30"/>
        <v>0</v>
      </c>
      <c r="R79" s="253">
        <f t="shared" si="7"/>
        <v>0</v>
      </c>
      <c r="S79" s="256"/>
      <c r="T79" s="256"/>
      <c r="U79" s="253">
        <f t="shared" si="8"/>
        <v>0</v>
      </c>
      <c r="V79" s="256"/>
      <c r="W79" s="258"/>
      <c r="X79" s="240"/>
    </row>
    <row r="80" spans="1:24" ht="21">
      <c r="A80" s="250" t="s">
        <v>277</v>
      </c>
      <c r="B80" s="247" t="s">
        <v>275</v>
      </c>
      <c r="C80" s="247" t="s">
        <v>197</v>
      </c>
      <c r="D80" s="247" t="s">
        <v>194</v>
      </c>
      <c r="E80" s="259" t="s">
        <v>278</v>
      </c>
      <c r="F80" s="253">
        <f t="shared" si="0"/>
        <v>154037.4</v>
      </c>
      <c r="G80" s="260">
        <f>+G82</f>
        <v>97000</v>
      </c>
      <c r="H80" s="260">
        <f>+H82</f>
        <v>57037.4</v>
      </c>
      <c r="I80" s="253">
        <f t="shared" si="1"/>
        <v>339683</v>
      </c>
      <c r="J80" s="260">
        <f aca="true" t="shared" si="32" ref="J80:W80">+J82</f>
        <v>180000</v>
      </c>
      <c r="K80" s="260">
        <f t="shared" si="32"/>
        <v>159683</v>
      </c>
      <c r="L80" s="253">
        <f t="shared" si="3"/>
        <v>234628</v>
      </c>
      <c r="M80" s="261">
        <f t="shared" si="32"/>
        <v>180000</v>
      </c>
      <c r="N80" s="261">
        <f t="shared" si="32"/>
        <v>54628</v>
      </c>
      <c r="O80" s="253">
        <f t="shared" si="28"/>
        <v>-105055</v>
      </c>
      <c r="P80" s="253">
        <f t="shared" si="29"/>
        <v>0</v>
      </c>
      <c r="Q80" s="253">
        <f t="shared" si="30"/>
        <v>-105055</v>
      </c>
      <c r="R80" s="253">
        <f t="shared" si="7"/>
        <v>205000</v>
      </c>
      <c r="S80" s="260">
        <f t="shared" si="32"/>
        <v>180000</v>
      </c>
      <c r="T80" s="260">
        <f t="shared" si="32"/>
        <v>25000</v>
      </c>
      <c r="U80" s="253">
        <f t="shared" si="8"/>
        <v>205000</v>
      </c>
      <c r="V80" s="260">
        <f t="shared" si="32"/>
        <v>180000</v>
      </c>
      <c r="W80" s="260">
        <f t="shared" si="32"/>
        <v>25000</v>
      </c>
      <c r="X80" s="240"/>
    </row>
    <row r="81" spans="1:24" ht="10.5">
      <c r="A81" s="250"/>
      <c r="B81" s="247"/>
      <c r="C81" s="247"/>
      <c r="D81" s="247"/>
      <c r="E81" s="255" t="s">
        <v>199</v>
      </c>
      <c r="F81" s="253">
        <f t="shared" si="0"/>
        <v>0</v>
      </c>
      <c r="G81" s="256"/>
      <c r="H81" s="256"/>
      <c r="I81" s="253">
        <f t="shared" si="1"/>
        <v>0</v>
      </c>
      <c r="J81" s="256"/>
      <c r="K81" s="256"/>
      <c r="L81" s="253">
        <f t="shared" si="3"/>
        <v>0</v>
      </c>
      <c r="M81" s="257"/>
      <c r="N81" s="257"/>
      <c r="O81" s="253">
        <f t="shared" si="28"/>
        <v>0</v>
      </c>
      <c r="P81" s="253">
        <f t="shared" si="29"/>
        <v>0</v>
      </c>
      <c r="Q81" s="253">
        <f t="shared" si="30"/>
        <v>0</v>
      </c>
      <c r="R81" s="253">
        <f t="shared" si="7"/>
        <v>0</v>
      </c>
      <c r="S81" s="256"/>
      <c r="T81" s="256"/>
      <c r="U81" s="253">
        <f t="shared" si="8"/>
        <v>0</v>
      </c>
      <c r="V81" s="256"/>
      <c r="W81" s="258"/>
      <c r="X81" s="240"/>
    </row>
    <row r="82" spans="1:24" ht="21">
      <c r="A82" s="250" t="s">
        <v>279</v>
      </c>
      <c r="B82" s="247" t="s">
        <v>275</v>
      </c>
      <c r="C82" s="247" t="s">
        <v>197</v>
      </c>
      <c r="D82" s="247" t="s">
        <v>197</v>
      </c>
      <c r="E82" s="255" t="s">
        <v>278</v>
      </c>
      <c r="F82" s="253">
        <f aca="true" t="shared" si="33" ref="F82:F154">+G82+H82</f>
        <v>154037.4</v>
      </c>
      <c r="G82" s="256">
        <v>97000</v>
      </c>
      <c r="H82" s="256">
        <v>57037.4</v>
      </c>
      <c r="I82" s="253">
        <f aca="true" t="shared" si="34" ref="I82:I157">+J82+K82</f>
        <v>339683</v>
      </c>
      <c r="J82" s="256">
        <v>180000</v>
      </c>
      <c r="K82" s="256">
        <v>159683</v>
      </c>
      <c r="L82" s="253">
        <f aca="true" t="shared" si="35" ref="L82:L154">+M82+N82</f>
        <v>234628</v>
      </c>
      <c r="M82" s="257">
        <v>180000</v>
      </c>
      <c r="N82" s="257">
        <v>54628</v>
      </c>
      <c r="O82" s="253">
        <f t="shared" si="28"/>
        <v>-105055</v>
      </c>
      <c r="P82" s="253">
        <f t="shared" si="29"/>
        <v>0</v>
      </c>
      <c r="Q82" s="253">
        <f t="shared" si="30"/>
        <v>-105055</v>
      </c>
      <c r="R82" s="253">
        <f aca="true" t="shared" si="36" ref="R82:R154">+S82+T82</f>
        <v>205000</v>
      </c>
      <c r="S82" s="256">
        <v>180000</v>
      </c>
      <c r="T82" s="256">
        <f>20000+5000</f>
        <v>25000</v>
      </c>
      <c r="U82" s="253">
        <f aca="true" t="shared" si="37" ref="U82:U154">+V82+W82</f>
        <v>205000</v>
      </c>
      <c r="V82" s="256">
        <v>180000</v>
      </c>
      <c r="W82" s="258">
        <f>20000+5000</f>
        <v>25000</v>
      </c>
      <c r="X82" s="240"/>
    </row>
    <row r="83" spans="1:24" ht="21">
      <c r="A83" s="250">
        <v>2620</v>
      </c>
      <c r="B83" s="247">
        <v>6</v>
      </c>
      <c r="C83" s="247">
        <v>2</v>
      </c>
      <c r="D83" s="247">
        <v>0</v>
      </c>
      <c r="E83" s="259" t="s">
        <v>710</v>
      </c>
      <c r="F83" s="253">
        <f t="shared" si="33"/>
        <v>2681.4</v>
      </c>
      <c r="G83" s="256">
        <f>+G84</f>
        <v>200</v>
      </c>
      <c r="H83" s="256">
        <f>+H84</f>
        <v>2481.4</v>
      </c>
      <c r="I83" s="253"/>
      <c r="J83" s="256"/>
      <c r="K83" s="256"/>
      <c r="L83" s="253"/>
      <c r="M83" s="257"/>
      <c r="N83" s="257"/>
      <c r="O83" s="253">
        <f t="shared" si="28"/>
        <v>0</v>
      </c>
      <c r="P83" s="253">
        <f t="shared" si="29"/>
        <v>0</v>
      </c>
      <c r="Q83" s="253">
        <f t="shared" si="30"/>
        <v>0</v>
      </c>
      <c r="R83" s="253"/>
      <c r="S83" s="256"/>
      <c r="T83" s="256"/>
      <c r="U83" s="253"/>
      <c r="V83" s="256"/>
      <c r="W83" s="258"/>
      <c r="X83" s="240"/>
    </row>
    <row r="84" spans="1:24" ht="10.5">
      <c r="A84" s="250">
        <v>2621</v>
      </c>
      <c r="B84" s="247">
        <v>6</v>
      </c>
      <c r="C84" s="247">
        <v>2</v>
      </c>
      <c r="D84" s="247">
        <v>1</v>
      </c>
      <c r="E84" s="255" t="s">
        <v>711</v>
      </c>
      <c r="F84" s="253">
        <f t="shared" si="33"/>
        <v>2681.4</v>
      </c>
      <c r="G84" s="256">
        <v>200</v>
      </c>
      <c r="H84" s="256">
        <v>2481.4</v>
      </c>
      <c r="I84" s="253"/>
      <c r="J84" s="256"/>
      <c r="K84" s="256"/>
      <c r="L84" s="253"/>
      <c r="M84" s="257"/>
      <c r="N84" s="257"/>
      <c r="O84" s="253">
        <f t="shared" si="28"/>
        <v>0</v>
      </c>
      <c r="P84" s="253">
        <f t="shared" si="29"/>
        <v>0</v>
      </c>
      <c r="Q84" s="253">
        <f t="shared" si="30"/>
        <v>0</v>
      </c>
      <c r="R84" s="253"/>
      <c r="S84" s="256"/>
      <c r="T84" s="256"/>
      <c r="U84" s="253"/>
      <c r="V84" s="256"/>
      <c r="W84" s="258"/>
      <c r="X84" s="240"/>
    </row>
    <row r="85" spans="1:24" ht="10.5">
      <c r="A85" s="250">
        <v>2630</v>
      </c>
      <c r="B85" s="247">
        <v>6</v>
      </c>
      <c r="C85" s="247">
        <v>3</v>
      </c>
      <c r="D85" s="247">
        <v>0</v>
      </c>
      <c r="E85" s="259" t="s">
        <v>712</v>
      </c>
      <c r="F85" s="253">
        <f t="shared" si="33"/>
        <v>44585.4</v>
      </c>
      <c r="G85" s="256">
        <f>+G86</f>
        <v>7083</v>
      </c>
      <c r="H85" s="256">
        <f>+H86</f>
        <v>37502.4</v>
      </c>
      <c r="I85" s="253"/>
      <c r="J85" s="256"/>
      <c r="K85" s="256"/>
      <c r="L85" s="253"/>
      <c r="M85" s="257"/>
      <c r="N85" s="257"/>
      <c r="O85" s="253">
        <f t="shared" si="28"/>
        <v>0</v>
      </c>
      <c r="P85" s="253">
        <f t="shared" si="29"/>
        <v>0</v>
      </c>
      <c r="Q85" s="253">
        <f t="shared" si="30"/>
        <v>0</v>
      </c>
      <c r="R85" s="253"/>
      <c r="S85" s="256"/>
      <c r="T85" s="256"/>
      <c r="U85" s="253"/>
      <c r="V85" s="256"/>
      <c r="W85" s="258"/>
      <c r="X85" s="240"/>
    </row>
    <row r="86" spans="1:24" ht="10.5">
      <c r="A86" s="250">
        <v>2631</v>
      </c>
      <c r="B86" s="247">
        <v>6</v>
      </c>
      <c r="C86" s="247">
        <v>3</v>
      </c>
      <c r="D86" s="247">
        <v>1</v>
      </c>
      <c r="E86" s="255" t="s">
        <v>713</v>
      </c>
      <c r="F86" s="253">
        <f t="shared" si="33"/>
        <v>44585.4</v>
      </c>
      <c r="G86" s="256">
        <v>7083</v>
      </c>
      <c r="H86" s="256">
        <v>37502.4</v>
      </c>
      <c r="I86" s="253"/>
      <c r="J86" s="256"/>
      <c r="K86" s="256"/>
      <c r="L86" s="253"/>
      <c r="M86" s="257"/>
      <c r="N86" s="257"/>
      <c r="O86" s="253">
        <f t="shared" si="28"/>
        <v>0</v>
      </c>
      <c r="P86" s="253">
        <f t="shared" si="29"/>
        <v>0</v>
      </c>
      <c r="Q86" s="253">
        <f t="shared" si="30"/>
        <v>0</v>
      </c>
      <c r="R86" s="253"/>
      <c r="S86" s="256"/>
      <c r="T86" s="256"/>
      <c r="U86" s="253"/>
      <c r="V86" s="256"/>
      <c r="W86" s="258"/>
      <c r="X86" s="240"/>
    </row>
    <row r="87" spans="1:24" ht="21">
      <c r="A87" s="250" t="s">
        <v>280</v>
      </c>
      <c r="B87" s="247" t="s">
        <v>275</v>
      </c>
      <c r="C87" s="247" t="s">
        <v>237</v>
      </c>
      <c r="D87" s="247" t="s">
        <v>194</v>
      </c>
      <c r="E87" s="259" t="s">
        <v>281</v>
      </c>
      <c r="F87" s="253">
        <f t="shared" si="33"/>
        <v>160657.8</v>
      </c>
      <c r="G87" s="260">
        <f>+G89</f>
        <v>39062</v>
      </c>
      <c r="H87" s="260">
        <f>+H89</f>
        <v>121595.8</v>
      </c>
      <c r="I87" s="253">
        <f t="shared" si="34"/>
        <v>163867</v>
      </c>
      <c r="J87" s="260">
        <f aca="true" t="shared" si="38" ref="J87:W87">+J89</f>
        <v>47256</v>
      </c>
      <c r="K87" s="260">
        <f t="shared" si="38"/>
        <v>116611</v>
      </c>
      <c r="L87" s="253">
        <f t="shared" si="35"/>
        <v>116520</v>
      </c>
      <c r="M87" s="261">
        <f t="shared" si="38"/>
        <v>40000</v>
      </c>
      <c r="N87" s="261">
        <f t="shared" si="38"/>
        <v>76520</v>
      </c>
      <c r="O87" s="253">
        <f t="shared" si="28"/>
        <v>-47347</v>
      </c>
      <c r="P87" s="253">
        <f t="shared" si="29"/>
        <v>-7256</v>
      </c>
      <c r="Q87" s="253">
        <f t="shared" si="30"/>
        <v>-40091</v>
      </c>
      <c r="R87" s="253">
        <f t="shared" si="36"/>
        <v>168000</v>
      </c>
      <c r="S87" s="260">
        <f t="shared" si="38"/>
        <v>48000</v>
      </c>
      <c r="T87" s="260">
        <f t="shared" si="38"/>
        <v>120000</v>
      </c>
      <c r="U87" s="253">
        <f t="shared" si="37"/>
        <v>146000</v>
      </c>
      <c r="V87" s="260">
        <f t="shared" si="38"/>
        <v>48000</v>
      </c>
      <c r="W87" s="260">
        <f t="shared" si="38"/>
        <v>98000</v>
      </c>
      <c r="X87" s="240"/>
    </row>
    <row r="88" spans="1:24" ht="10.5">
      <c r="A88" s="250"/>
      <c r="B88" s="247"/>
      <c r="C88" s="247"/>
      <c r="D88" s="247"/>
      <c r="E88" s="255" t="s">
        <v>199</v>
      </c>
      <c r="F88" s="253">
        <f t="shared" si="33"/>
        <v>0</v>
      </c>
      <c r="G88" s="256"/>
      <c r="H88" s="256"/>
      <c r="I88" s="253">
        <f t="shared" si="34"/>
        <v>0</v>
      </c>
      <c r="J88" s="256"/>
      <c r="K88" s="256"/>
      <c r="L88" s="253">
        <f t="shared" si="35"/>
        <v>0</v>
      </c>
      <c r="M88" s="257"/>
      <c r="N88" s="257"/>
      <c r="O88" s="253">
        <f t="shared" si="28"/>
        <v>0</v>
      </c>
      <c r="P88" s="253">
        <f t="shared" si="29"/>
        <v>0</v>
      </c>
      <c r="Q88" s="253">
        <f t="shared" si="30"/>
        <v>0</v>
      </c>
      <c r="R88" s="253">
        <f t="shared" si="36"/>
        <v>0</v>
      </c>
      <c r="S88" s="256"/>
      <c r="T88" s="256"/>
      <c r="U88" s="253">
        <f t="shared" si="37"/>
        <v>0</v>
      </c>
      <c r="V88" s="256"/>
      <c r="W88" s="258"/>
      <c r="X88" s="240"/>
    </row>
    <row r="89" spans="1:24" ht="21">
      <c r="A89" s="250" t="s">
        <v>282</v>
      </c>
      <c r="B89" s="247" t="s">
        <v>275</v>
      </c>
      <c r="C89" s="247" t="s">
        <v>237</v>
      </c>
      <c r="D89" s="247" t="s">
        <v>197</v>
      </c>
      <c r="E89" s="255" t="s">
        <v>281</v>
      </c>
      <c r="F89" s="253">
        <f t="shared" si="33"/>
        <v>160657.8</v>
      </c>
      <c r="G89" s="256">
        <v>39062</v>
      </c>
      <c r="H89" s="256">
        <v>121595.8</v>
      </c>
      <c r="I89" s="253">
        <f t="shared" si="34"/>
        <v>163867</v>
      </c>
      <c r="J89" s="256">
        <v>47256</v>
      </c>
      <c r="K89" s="256">
        <v>116611</v>
      </c>
      <c r="L89" s="253">
        <f t="shared" si="35"/>
        <v>116520</v>
      </c>
      <c r="M89" s="257">
        <v>40000</v>
      </c>
      <c r="N89" s="257">
        <v>76520</v>
      </c>
      <c r="O89" s="253">
        <f t="shared" si="28"/>
        <v>-47347</v>
      </c>
      <c r="P89" s="253">
        <f t="shared" si="29"/>
        <v>-7256</v>
      </c>
      <c r="Q89" s="253">
        <f t="shared" si="30"/>
        <v>-40091</v>
      </c>
      <c r="R89" s="253">
        <f t="shared" si="36"/>
        <v>168000</v>
      </c>
      <c r="S89" s="256">
        <v>48000</v>
      </c>
      <c r="T89" s="256">
        <f>30000+20000+50000+10000+10000</f>
        <v>120000</v>
      </c>
      <c r="U89" s="253">
        <f t="shared" si="37"/>
        <v>146000</v>
      </c>
      <c r="V89" s="256">
        <v>48000</v>
      </c>
      <c r="W89" s="258">
        <f>25000+23000+50000</f>
        <v>98000</v>
      </c>
      <c r="X89" s="240"/>
    </row>
    <row r="90" spans="1:24" ht="52.5">
      <c r="A90" s="250" t="s">
        <v>283</v>
      </c>
      <c r="B90" s="247" t="s">
        <v>275</v>
      </c>
      <c r="C90" s="247" t="s">
        <v>210</v>
      </c>
      <c r="D90" s="247" t="s">
        <v>194</v>
      </c>
      <c r="E90" s="259" t="s">
        <v>284</v>
      </c>
      <c r="F90" s="253">
        <f t="shared" si="33"/>
        <v>0</v>
      </c>
      <c r="G90" s="260">
        <f>+G92</f>
        <v>0</v>
      </c>
      <c r="H90" s="260">
        <f>+H92</f>
        <v>0</v>
      </c>
      <c r="I90" s="253">
        <f t="shared" si="34"/>
        <v>0</v>
      </c>
      <c r="J90" s="260">
        <f aca="true" t="shared" si="39" ref="J90:W90">+J92</f>
        <v>0</v>
      </c>
      <c r="K90" s="260">
        <f t="shared" si="39"/>
        <v>0</v>
      </c>
      <c r="L90" s="253">
        <f t="shared" si="35"/>
        <v>0</v>
      </c>
      <c r="M90" s="261">
        <f t="shared" si="39"/>
        <v>0</v>
      </c>
      <c r="N90" s="261">
        <f t="shared" si="39"/>
        <v>0</v>
      </c>
      <c r="O90" s="253">
        <f t="shared" si="28"/>
        <v>0</v>
      </c>
      <c r="P90" s="253">
        <f t="shared" si="29"/>
        <v>0</v>
      </c>
      <c r="Q90" s="253">
        <f t="shared" si="30"/>
        <v>0</v>
      </c>
      <c r="R90" s="253">
        <f t="shared" si="36"/>
        <v>50000</v>
      </c>
      <c r="S90" s="260">
        <f t="shared" si="39"/>
        <v>0</v>
      </c>
      <c r="T90" s="260">
        <f t="shared" si="39"/>
        <v>50000</v>
      </c>
      <c r="U90" s="253">
        <f t="shared" si="37"/>
        <v>50000</v>
      </c>
      <c r="V90" s="260">
        <f t="shared" si="39"/>
        <v>0</v>
      </c>
      <c r="W90" s="260">
        <f t="shared" si="39"/>
        <v>50000</v>
      </c>
      <c r="X90" s="240"/>
    </row>
    <row r="91" spans="1:24" ht="10.5">
      <c r="A91" s="250"/>
      <c r="B91" s="247"/>
      <c r="C91" s="247"/>
      <c r="D91" s="247"/>
      <c r="E91" s="255" t="s">
        <v>199</v>
      </c>
      <c r="F91" s="253">
        <f t="shared" si="33"/>
        <v>0</v>
      </c>
      <c r="G91" s="256"/>
      <c r="H91" s="256"/>
      <c r="I91" s="253">
        <f t="shared" si="34"/>
        <v>0</v>
      </c>
      <c r="J91" s="256"/>
      <c r="K91" s="256"/>
      <c r="L91" s="253">
        <f t="shared" si="35"/>
        <v>0</v>
      </c>
      <c r="M91" s="257"/>
      <c r="N91" s="257"/>
      <c r="O91" s="253">
        <f t="shared" si="28"/>
        <v>0</v>
      </c>
      <c r="P91" s="253">
        <f t="shared" si="29"/>
        <v>0</v>
      </c>
      <c r="Q91" s="253">
        <f t="shared" si="30"/>
        <v>0</v>
      </c>
      <c r="R91" s="253">
        <f t="shared" si="36"/>
        <v>0</v>
      </c>
      <c r="S91" s="256"/>
      <c r="T91" s="256"/>
      <c r="U91" s="253">
        <f t="shared" si="37"/>
        <v>0</v>
      </c>
      <c r="V91" s="256"/>
      <c r="W91" s="258"/>
      <c r="X91" s="240"/>
    </row>
    <row r="92" spans="1:24" ht="42">
      <c r="A92" s="250" t="s">
        <v>285</v>
      </c>
      <c r="B92" s="247" t="s">
        <v>275</v>
      </c>
      <c r="C92" s="247" t="s">
        <v>210</v>
      </c>
      <c r="D92" s="247" t="s">
        <v>197</v>
      </c>
      <c r="E92" s="255" t="s">
        <v>284</v>
      </c>
      <c r="F92" s="253">
        <f t="shared" si="33"/>
        <v>0</v>
      </c>
      <c r="G92" s="256"/>
      <c r="H92" s="256"/>
      <c r="I92" s="253">
        <f t="shared" si="34"/>
        <v>0</v>
      </c>
      <c r="J92" s="256"/>
      <c r="K92" s="256"/>
      <c r="L92" s="253">
        <f t="shared" si="35"/>
        <v>0</v>
      </c>
      <c r="M92" s="257"/>
      <c r="N92" s="257"/>
      <c r="O92" s="253">
        <f t="shared" si="28"/>
        <v>0</v>
      </c>
      <c r="P92" s="253">
        <f t="shared" si="29"/>
        <v>0</v>
      </c>
      <c r="Q92" s="253">
        <f t="shared" si="30"/>
        <v>0</v>
      </c>
      <c r="R92" s="253">
        <f t="shared" si="36"/>
        <v>50000</v>
      </c>
      <c r="S92" s="256"/>
      <c r="T92" s="256">
        <v>50000</v>
      </c>
      <c r="U92" s="253">
        <f t="shared" si="37"/>
        <v>50000</v>
      </c>
      <c r="V92" s="256">
        <v>0</v>
      </c>
      <c r="W92" s="258">
        <v>50000</v>
      </c>
      <c r="X92" s="240"/>
    </row>
    <row r="93" spans="1:24" ht="42">
      <c r="A93" s="250" t="s">
        <v>286</v>
      </c>
      <c r="B93" s="247" t="s">
        <v>275</v>
      </c>
      <c r="C93" s="247" t="s">
        <v>214</v>
      </c>
      <c r="D93" s="247" t="s">
        <v>194</v>
      </c>
      <c r="E93" s="259" t="s">
        <v>287</v>
      </c>
      <c r="F93" s="253">
        <f t="shared" si="33"/>
        <v>27610.2</v>
      </c>
      <c r="G93" s="260">
        <f>+G95</f>
        <v>0</v>
      </c>
      <c r="H93" s="260">
        <f>+H95</f>
        <v>27610.2</v>
      </c>
      <c r="I93" s="253">
        <f t="shared" si="34"/>
        <v>0</v>
      </c>
      <c r="J93" s="260">
        <f aca="true" t="shared" si="40" ref="J93:W93">+J95</f>
        <v>0</v>
      </c>
      <c r="K93" s="260">
        <f t="shared" si="40"/>
        <v>0</v>
      </c>
      <c r="L93" s="253">
        <f t="shared" si="35"/>
        <v>0</v>
      </c>
      <c r="M93" s="261">
        <f t="shared" si="40"/>
        <v>0</v>
      </c>
      <c r="N93" s="261">
        <f t="shared" si="40"/>
        <v>0</v>
      </c>
      <c r="O93" s="253">
        <f t="shared" si="28"/>
        <v>0</v>
      </c>
      <c r="P93" s="253">
        <f t="shared" si="29"/>
        <v>0</v>
      </c>
      <c r="Q93" s="253">
        <f t="shared" si="30"/>
        <v>0</v>
      </c>
      <c r="R93" s="253">
        <f t="shared" si="36"/>
        <v>0</v>
      </c>
      <c r="S93" s="260">
        <f t="shared" si="40"/>
        <v>0</v>
      </c>
      <c r="T93" s="260">
        <f t="shared" si="40"/>
        <v>0</v>
      </c>
      <c r="U93" s="253">
        <f t="shared" si="37"/>
        <v>0</v>
      </c>
      <c r="V93" s="260">
        <f t="shared" si="40"/>
        <v>0</v>
      </c>
      <c r="W93" s="260">
        <f t="shared" si="40"/>
        <v>0</v>
      </c>
      <c r="X93" s="240"/>
    </row>
    <row r="94" spans="1:24" ht="10.5">
      <c r="A94" s="250"/>
      <c r="B94" s="247"/>
      <c r="C94" s="247"/>
      <c r="D94" s="247"/>
      <c r="E94" s="255" t="s">
        <v>199</v>
      </c>
      <c r="F94" s="253">
        <f t="shared" si="33"/>
        <v>0</v>
      </c>
      <c r="G94" s="256"/>
      <c r="H94" s="256"/>
      <c r="I94" s="253">
        <f t="shared" si="34"/>
        <v>0</v>
      </c>
      <c r="J94" s="256"/>
      <c r="K94" s="256"/>
      <c r="L94" s="253">
        <f t="shared" si="35"/>
        <v>0</v>
      </c>
      <c r="M94" s="257"/>
      <c r="N94" s="257"/>
      <c r="O94" s="253">
        <f t="shared" si="28"/>
        <v>0</v>
      </c>
      <c r="P94" s="253">
        <f t="shared" si="29"/>
        <v>0</v>
      </c>
      <c r="Q94" s="253">
        <f t="shared" si="30"/>
        <v>0</v>
      </c>
      <c r="R94" s="253">
        <f t="shared" si="36"/>
        <v>0</v>
      </c>
      <c r="S94" s="256"/>
      <c r="T94" s="256"/>
      <c r="U94" s="253">
        <f t="shared" si="37"/>
        <v>0</v>
      </c>
      <c r="V94" s="256"/>
      <c r="W94" s="258"/>
      <c r="X94" s="240"/>
    </row>
    <row r="95" spans="1:24" ht="31.5">
      <c r="A95" s="250" t="s">
        <v>288</v>
      </c>
      <c r="B95" s="247" t="s">
        <v>275</v>
      </c>
      <c r="C95" s="247" t="s">
        <v>214</v>
      </c>
      <c r="D95" s="247" t="s">
        <v>197</v>
      </c>
      <c r="E95" s="255" t="s">
        <v>287</v>
      </c>
      <c r="F95" s="253">
        <f t="shared" si="33"/>
        <v>27610.2</v>
      </c>
      <c r="G95" s="256"/>
      <c r="H95" s="256">
        <v>27610.2</v>
      </c>
      <c r="I95" s="253">
        <f t="shared" si="34"/>
        <v>0</v>
      </c>
      <c r="J95" s="256"/>
      <c r="K95" s="256"/>
      <c r="L95" s="253">
        <f t="shared" si="35"/>
        <v>0</v>
      </c>
      <c r="M95" s="257"/>
      <c r="N95" s="257"/>
      <c r="O95" s="253">
        <f t="shared" si="28"/>
        <v>0</v>
      </c>
      <c r="P95" s="253">
        <f t="shared" si="29"/>
        <v>0</v>
      </c>
      <c r="Q95" s="253">
        <f t="shared" si="30"/>
        <v>0</v>
      </c>
      <c r="R95" s="253">
        <f t="shared" si="36"/>
        <v>0</v>
      </c>
      <c r="S95" s="256"/>
      <c r="T95" s="256"/>
      <c r="U95" s="253">
        <f t="shared" si="37"/>
        <v>0</v>
      </c>
      <c r="V95" s="256"/>
      <c r="W95" s="258"/>
      <c r="X95" s="240"/>
    </row>
    <row r="96" spans="1:24" ht="21">
      <c r="A96" s="250" t="s">
        <v>289</v>
      </c>
      <c r="B96" s="247" t="s">
        <v>290</v>
      </c>
      <c r="C96" s="247" t="s">
        <v>194</v>
      </c>
      <c r="D96" s="247" t="s">
        <v>194</v>
      </c>
      <c r="E96" s="259" t="s">
        <v>291</v>
      </c>
      <c r="F96" s="253">
        <f t="shared" si="33"/>
        <v>6699.6</v>
      </c>
      <c r="G96" s="260">
        <f>+G98+G103+G105+G101</f>
        <v>6699.6</v>
      </c>
      <c r="H96" s="260">
        <f>+H98+H103+H105+H101</f>
        <v>0</v>
      </c>
      <c r="I96" s="253">
        <f t="shared" si="34"/>
        <v>10000</v>
      </c>
      <c r="J96" s="260">
        <f aca="true" t="shared" si="41" ref="J96:W96">+J98+J103+J105</f>
        <v>10000</v>
      </c>
      <c r="K96" s="260">
        <f t="shared" si="41"/>
        <v>0</v>
      </c>
      <c r="L96" s="253">
        <f t="shared" si="35"/>
        <v>5000</v>
      </c>
      <c r="M96" s="261">
        <f t="shared" si="41"/>
        <v>5000</v>
      </c>
      <c r="N96" s="261">
        <f t="shared" si="41"/>
        <v>0</v>
      </c>
      <c r="O96" s="253">
        <f t="shared" si="28"/>
        <v>-5000</v>
      </c>
      <c r="P96" s="253">
        <f t="shared" si="29"/>
        <v>-5000</v>
      </c>
      <c r="Q96" s="253">
        <f t="shared" si="30"/>
        <v>0</v>
      </c>
      <c r="R96" s="253">
        <f t="shared" si="36"/>
        <v>5000</v>
      </c>
      <c r="S96" s="260">
        <f t="shared" si="41"/>
        <v>5000</v>
      </c>
      <c r="T96" s="260">
        <f t="shared" si="41"/>
        <v>0</v>
      </c>
      <c r="U96" s="253">
        <f t="shared" si="37"/>
        <v>0</v>
      </c>
      <c r="V96" s="260">
        <f t="shared" si="41"/>
        <v>0</v>
      </c>
      <c r="W96" s="260">
        <f t="shared" si="41"/>
        <v>0</v>
      </c>
      <c r="X96" s="240"/>
    </row>
    <row r="97" spans="1:24" ht="10.5">
      <c r="A97" s="250"/>
      <c r="B97" s="247"/>
      <c r="C97" s="247"/>
      <c r="D97" s="247"/>
      <c r="E97" s="255" t="s">
        <v>5</v>
      </c>
      <c r="F97" s="253">
        <f t="shared" si="33"/>
        <v>0</v>
      </c>
      <c r="G97" s="256"/>
      <c r="H97" s="256"/>
      <c r="I97" s="253">
        <f t="shared" si="34"/>
        <v>0</v>
      </c>
      <c r="J97" s="256"/>
      <c r="K97" s="256"/>
      <c r="L97" s="253">
        <f t="shared" si="35"/>
        <v>0</v>
      </c>
      <c r="M97" s="257"/>
      <c r="N97" s="257"/>
      <c r="O97" s="253">
        <f t="shared" si="28"/>
        <v>0</v>
      </c>
      <c r="P97" s="253">
        <f t="shared" si="29"/>
        <v>0</v>
      </c>
      <c r="Q97" s="253">
        <f t="shared" si="30"/>
        <v>0</v>
      </c>
      <c r="R97" s="253">
        <f t="shared" si="36"/>
        <v>0</v>
      </c>
      <c r="S97" s="256"/>
      <c r="T97" s="256"/>
      <c r="U97" s="253">
        <f t="shared" si="37"/>
        <v>0</v>
      </c>
      <c r="V97" s="256"/>
      <c r="W97" s="258"/>
      <c r="X97" s="240"/>
    </row>
    <row r="98" spans="1:24" ht="21">
      <c r="A98" s="250" t="s">
        <v>292</v>
      </c>
      <c r="B98" s="247" t="s">
        <v>290</v>
      </c>
      <c r="C98" s="247" t="s">
        <v>197</v>
      </c>
      <c r="D98" s="247" t="s">
        <v>194</v>
      </c>
      <c r="E98" s="259" t="s">
        <v>293</v>
      </c>
      <c r="F98" s="253">
        <f t="shared" si="33"/>
        <v>0</v>
      </c>
      <c r="G98" s="260">
        <f>+G100</f>
        <v>0</v>
      </c>
      <c r="H98" s="260">
        <f>+H100</f>
        <v>0</v>
      </c>
      <c r="I98" s="253">
        <f t="shared" si="34"/>
        <v>0</v>
      </c>
      <c r="J98" s="260">
        <f aca="true" t="shared" si="42" ref="J98:W98">+J100</f>
        <v>0</v>
      </c>
      <c r="K98" s="260">
        <f t="shared" si="42"/>
        <v>0</v>
      </c>
      <c r="L98" s="253">
        <f t="shared" si="35"/>
        <v>0</v>
      </c>
      <c r="M98" s="261">
        <f t="shared" si="42"/>
        <v>0</v>
      </c>
      <c r="N98" s="261">
        <f t="shared" si="42"/>
        <v>0</v>
      </c>
      <c r="O98" s="253">
        <f t="shared" si="28"/>
        <v>0</v>
      </c>
      <c r="P98" s="253">
        <f t="shared" si="29"/>
        <v>0</v>
      </c>
      <c r="Q98" s="253">
        <f t="shared" si="30"/>
        <v>0</v>
      </c>
      <c r="R98" s="253">
        <f t="shared" si="36"/>
        <v>0</v>
      </c>
      <c r="S98" s="260">
        <f t="shared" si="42"/>
        <v>0</v>
      </c>
      <c r="T98" s="260">
        <f t="shared" si="42"/>
        <v>0</v>
      </c>
      <c r="U98" s="253">
        <f t="shared" si="37"/>
        <v>0</v>
      </c>
      <c r="V98" s="260">
        <f t="shared" si="42"/>
        <v>0</v>
      </c>
      <c r="W98" s="260">
        <f t="shared" si="42"/>
        <v>0</v>
      </c>
      <c r="X98" s="240"/>
    </row>
    <row r="99" spans="1:24" ht="10.5">
      <c r="A99" s="250"/>
      <c r="B99" s="247"/>
      <c r="C99" s="247"/>
      <c r="D99" s="247"/>
      <c r="E99" s="255" t="s">
        <v>199</v>
      </c>
      <c r="F99" s="253">
        <f t="shared" si="33"/>
        <v>0</v>
      </c>
      <c r="G99" s="256"/>
      <c r="H99" s="256"/>
      <c r="I99" s="253">
        <f t="shared" si="34"/>
        <v>0</v>
      </c>
      <c r="J99" s="256"/>
      <c r="K99" s="256"/>
      <c r="L99" s="253">
        <f t="shared" si="35"/>
        <v>0</v>
      </c>
      <c r="M99" s="257"/>
      <c r="N99" s="257"/>
      <c r="O99" s="253">
        <f t="shared" si="28"/>
        <v>0</v>
      </c>
      <c r="P99" s="253">
        <f t="shared" si="29"/>
        <v>0</v>
      </c>
      <c r="Q99" s="253">
        <f t="shared" si="30"/>
        <v>0</v>
      </c>
      <c r="R99" s="253">
        <f t="shared" si="36"/>
        <v>0</v>
      </c>
      <c r="S99" s="256"/>
      <c r="T99" s="256"/>
      <c r="U99" s="253">
        <f t="shared" si="37"/>
        <v>0</v>
      </c>
      <c r="V99" s="256"/>
      <c r="W99" s="258"/>
      <c r="X99" s="240"/>
    </row>
    <row r="100" spans="1:24" ht="21">
      <c r="A100" s="250" t="s">
        <v>294</v>
      </c>
      <c r="B100" s="247" t="s">
        <v>290</v>
      </c>
      <c r="C100" s="247" t="s">
        <v>197</v>
      </c>
      <c r="D100" s="247" t="s">
        <v>197</v>
      </c>
      <c r="E100" s="255" t="s">
        <v>295</v>
      </c>
      <c r="F100" s="253">
        <f t="shared" si="33"/>
        <v>0</v>
      </c>
      <c r="G100" s="256"/>
      <c r="H100" s="256"/>
      <c r="I100" s="253">
        <f t="shared" si="34"/>
        <v>0</v>
      </c>
      <c r="J100" s="256"/>
      <c r="K100" s="256"/>
      <c r="L100" s="253">
        <f t="shared" si="35"/>
        <v>0</v>
      </c>
      <c r="M100" s="257"/>
      <c r="N100" s="257"/>
      <c r="O100" s="253">
        <f t="shared" si="28"/>
        <v>0</v>
      </c>
      <c r="P100" s="253">
        <f t="shared" si="29"/>
        <v>0</v>
      </c>
      <c r="Q100" s="253">
        <f t="shared" si="30"/>
        <v>0</v>
      </c>
      <c r="R100" s="253">
        <f t="shared" si="36"/>
        <v>0</v>
      </c>
      <c r="S100" s="256"/>
      <c r="T100" s="256"/>
      <c r="U100" s="253">
        <f t="shared" si="37"/>
        <v>0</v>
      </c>
      <c r="V100" s="256"/>
      <c r="W100" s="258"/>
      <c r="X100" s="240"/>
    </row>
    <row r="101" spans="1:24" ht="21">
      <c r="A101" s="250">
        <v>2720</v>
      </c>
      <c r="B101" s="247">
        <v>7</v>
      </c>
      <c r="C101" s="247">
        <v>2</v>
      </c>
      <c r="D101" s="247">
        <v>0</v>
      </c>
      <c r="E101" s="259" t="s">
        <v>714</v>
      </c>
      <c r="F101" s="253">
        <f t="shared" si="33"/>
        <v>778</v>
      </c>
      <c r="G101" s="256">
        <f>+G102</f>
        <v>778</v>
      </c>
      <c r="H101" s="256">
        <f>+H102</f>
        <v>0</v>
      </c>
      <c r="I101" s="253"/>
      <c r="J101" s="256"/>
      <c r="K101" s="256"/>
      <c r="L101" s="253"/>
      <c r="M101" s="257"/>
      <c r="N101" s="257"/>
      <c r="O101" s="253">
        <f t="shared" si="28"/>
        <v>0</v>
      </c>
      <c r="P101" s="253">
        <f t="shared" si="29"/>
        <v>0</v>
      </c>
      <c r="Q101" s="253">
        <f t="shared" si="30"/>
        <v>0</v>
      </c>
      <c r="R101" s="253"/>
      <c r="S101" s="256"/>
      <c r="T101" s="256"/>
      <c r="U101" s="253"/>
      <c r="V101" s="256"/>
      <c r="W101" s="258"/>
      <c r="X101" s="240"/>
    </row>
    <row r="102" spans="1:24" ht="21">
      <c r="A102" s="250">
        <v>2721</v>
      </c>
      <c r="B102" s="247">
        <v>7</v>
      </c>
      <c r="C102" s="247">
        <v>2</v>
      </c>
      <c r="D102" s="247">
        <v>1</v>
      </c>
      <c r="E102" s="255" t="s">
        <v>715</v>
      </c>
      <c r="F102" s="253">
        <f t="shared" si="33"/>
        <v>778</v>
      </c>
      <c r="G102" s="256">
        <v>778</v>
      </c>
      <c r="H102" s="256"/>
      <c r="I102" s="253"/>
      <c r="J102" s="256"/>
      <c r="K102" s="256"/>
      <c r="L102" s="253"/>
      <c r="M102" s="257"/>
      <c r="N102" s="257"/>
      <c r="O102" s="253">
        <f t="shared" si="28"/>
        <v>0</v>
      </c>
      <c r="P102" s="253">
        <f t="shared" si="29"/>
        <v>0</v>
      </c>
      <c r="Q102" s="253">
        <f t="shared" si="30"/>
        <v>0</v>
      </c>
      <c r="R102" s="253"/>
      <c r="S102" s="256"/>
      <c r="T102" s="256"/>
      <c r="U102" s="253"/>
      <c r="V102" s="256"/>
      <c r="W102" s="258"/>
      <c r="X102" s="240"/>
    </row>
    <row r="103" spans="1:24" ht="21">
      <c r="A103" s="250" t="s">
        <v>664</v>
      </c>
      <c r="B103" s="247" t="s">
        <v>250</v>
      </c>
      <c r="C103" s="247" t="s">
        <v>203</v>
      </c>
      <c r="D103" s="247" t="s">
        <v>194</v>
      </c>
      <c r="E103" s="259" t="s">
        <v>665</v>
      </c>
      <c r="F103" s="253">
        <f t="shared" si="33"/>
        <v>5621.6</v>
      </c>
      <c r="G103" s="256">
        <f aca="true" t="shared" si="43" ref="G103:W103">+G104</f>
        <v>5621.6</v>
      </c>
      <c r="H103" s="256">
        <f t="shared" si="43"/>
        <v>0</v>
      </c>
      <c r="I103" s="253">
        <f t="shared" si="34"/>
        <v>10000</v>
      </c>
      <c r="J103" s="256">
        <f t="shared" si="43"/>
        <v>10000</v>
      </c>
      <c r="K103" s="256">
        <f t="shared" si="43"/>
        <v>0</v>
      </c>
      <c r="L103" s="253">
        <f t="shared" si="35"/>
        <v>5000</v>
      </c>
      <c r="M103" s="257">
        <f t="shared" si="43"/>
        <v>5000</v>
      </c>
      <c r="N103" s="257">
        <f t="shared" si="43"/>
        <v>0</v>
      </c>
      <c r="O103" s="253">
        <f t="shared" si="28"/>
        <v>-5000</v>
      </c>
      <c r="P103" s="253">
        <f t="shared" si="29"/>
        <v>-5000</v>
      </c>
      <c r="Q103" s="253">
        <f t="shared" si="30"/>
        <v>0</v>
      </c>
      <c r="R103" s="253">
        <f t="shared" si="36"/>
        <v>5000</v>
      </c>
      <c r="S103" s="256">
        <f t="shared" si="43"/>
        <v>5000</v>
      </c>
      <c r="T103" s="256">
        <f t="shared" si="43"/>
        <v>0</v>
      </c>
      <c r="U103" s="253">
        <f t="shared" si="37"/>
        <v>0</v>
      </c>
      <c r="V103" s="256">
        <f t="shared" si="43"/>
        <v>0</v>
      </c>
      <c r="W103" s="256">
        <f t="shared" si="43"/>
        <v>0</v>
      </c>
      <c r="X103" s="240"/>
    </row>
    <row r="104" spans="1:24" ht="21">
      <c r="A104" s="250" t="s">
        <v>666</v>
      </c>
      <c r="B104" s="247" t="s">
        <v>250</v>
      </c>
      <c r="C104" s="247" t="s">
        <v>203</v>
      </c>
      <c r="D104" s="247" t="s">
        <v>197</v>
      </c>
      <c r="E104" s="255" t="s">
        <v>667</v>
      </c>
      <c r="F104" s="253">
        <f t="shared" si="33"/>
        <v>5621.6</v>
      </c>
      <c r="G104" s="256">
        <v>5621.6</v>
      </c>
      <c r="H104" s="256"/>
      <c r="I104" s="253">
        <f t="shared" si="34"/>
        <v>10000</v>
      </c>
      <c r="J104" s="256">
        <v>10000</v>
      </c>
      <c r="K104" s="256"/>
      <c r="L104" s="253">
        <f t="shared" si="35"/>
        <v>5000</v>
      </c>
      <c r="M104" s="257">
        <v>5000</v>
      </c>
      <c r="N104" s="257"/>
      <c r="O104" s="253">
        <f t="shared" si="28"/>
        <v>-5000</v>
      </c>
      <c r="P104" s="253">
        <f t="shared" si="29"/>
        <v>-5000</v>
      </c>
      <c r="Q104" s="253">
        <f t="shared" si="30"/>
        <v>0</v>
      </c>
      <c r="R104" s="253">
        <f t="shared" si="36"/>
        <v>5000</v>
      </c>
      <c r="S104" s="256">
        <v>5000</v>
      </c>
      <c r="T104" s="256"/>
      <c r="U104" s="253">
        <f t="shared" si="37"/>
        <v>0</v>
      </c>
      <c r="V104" s="256"/>
      <c r="W104" s="258"/>
      <c r="X104" s="240"/>
    </row>
    <row r="105" spans="1:24" ht="21">
      <c r="A105" s="250" t="s">
        <v>296</v>
      </c>
      <c r="B105" s="247" t="s">
        <v>290</v>
      </c>
      <c r="C105" s="247" t="s">
        <v>214</v>
      </c>
      <c r="D105" s="247" t="s">
        <v>194</v>
      </c>
      <c r="E105" s="259" t="s">
        <v>297</v>
      </c>
      <c r="F105" s="253">
        <f t="shared" si="33"/>
        <v>300</v>
      </c>
      <c r="G105" s="260">
        <f>+G107+G108</f>
        <v>300</v>
      </c>
      <c r="H105" s="260">
        <f>+H107+H108</f>
        <v>0</v>
      </c>
      <c r="I105" s="253">
        <f t="shared" si="34"/>
        <v>0</v>
      </c>
      <c r="J105" s="260">
        <f aca="true" t="shared" si="44" ref="J105:W105">+J107</f>
        <v>0</v>
      </c>
      <c r="K105" s="260">
        <f t="shared" si="44"/>
        <v>0</v>
      </c>
      <c r="L105" s="253">
        <f t="shared" si="35"/>
        <v>0</v>
      </c>
      <c r="M105" s="261">
        <f t="shared" si="44"/>
        <v>0</v>
      </c>
      <c r="N105" s="261">
        <f t="shared" si="44"/>
        <v>0</v>
      </c>
      <c r="O105" s="253">
        <f t="shared" si="28"/>
        <v>0</v>
      </c>
      <c r="P105" s="253">
        <f t="shared" si="29"/>
        <v>0</v>
      </c>
      <c r="Q105" s="253">
        <f t="shared" si="30"/>
        <v>0</v>
      </c>
      <c r="R105" s="253">
        <f t="shared" si="36"/>
        <v>0</v>
      </c>
      <c r="S105" s="260">
        <f t="shared" si="44"/>
        <v>0</v>
      </c>
      <c r="T105" s="260">
        <f t="shared" si="44"/>
        <v>0</v>
      </c>
      <c r="U105" s="253">
        <f t="shared" si="37"/>
        <v>0</v>
      </c>
      <c r="V105" s="260">
        <f t="shared" si="44"/>
        <v>0</v>
      </c>
      <c r="W105" s="260">
        <f t="shared" si="44"/>
        <v>0</v>
      </c>
      <c r="X105" s="240"/>
    </row>
    <row r="106" spans="1:24" ht="10.5">
      <c r="A106" s="250"/>
      <c r="B106" s="247"/>
      <c r="C106" s="247"/>
      <c r="D106" s="247"/>
      <c r="E106" s="255" t="s">
        <v>199</v>
      </c>
      <c r="F106" s="253">
        <f t="shared" si="33"/>
        <v>0</v>
      </c>
      <c r="G106" s="256"/>
      <c r="H106" s="256"/>
      <c r="I106" s="253">
        <f t="shared" si="34"/>
        <v>0</v>
      </c>
      <c r="J106" s="256"/>
      <c r="K106" s="256"/>
      <c r="L106" s="253">
        <f t="shared" si="35"/>
        <v>0</v>
      </c>
      <c r="M106" s="257"/>
      <c r="N106" s="257"/>
      <c r="O106" s="253">
        <f t="shared" si="28"/>
        <v>0</v>
      </c>
      <c r="P106" s="253">
        <f t="shared" si="29"/>
        <v>0</v>
      </c>
      <c r="Q106" s="253">
        <f t="shared" si="30"/>
        <v>0</v>
      </c>
      <c r="R106" s="253">
        <f t="shared" si="36"/>
        <v>0</v>
      </c>
      <c r="S106" s="256"/>
      <c r="T106" s="256"/>
      <c r="U106" s="253">
        <f t="shared" si="37"/>
        <v>0</v>
      </c>
      <c r="V106" s="256"/>
      <c r="W106" s="258"/>
      <c r="X106" s="240"/>
    </row>
    <row r="107" spans="1:24" ht="21">
      <c r="A107" s="250" t="s">
        <v>298</v>
      </c>
      <c r="B107" s="247" t="s">
        <v>290</v>
      </c>
      <c r="C107" s="247" t="s">
        <v>214</v>
      </c>
      <c r="D107" s="247" t="s">
        <v>197</v>
      </c>
      <c r="E107" s="255" t="s">
        <v>299</v>
      </c>
      <c r="F107" s="253">
        <f t="shared" si="33"/>
        <v>0</v>
      </c>
      <c r="G107" s="256"/>
      <c r="H107" s="256"/>
      <c r="I107" s="253">
        <f t="shared" si="34"/>
        <v>0</v>
      </c>
      <c r="J107" s="256"/>
      <c r="K107" s="256"/>
      <c r="L107" s="253">
        <f t="shared" si="35"/>
        <v>0</v>
      </c>
      <c r="M107" s="257"/>
      <c r="N107" s="257"/>
      <c r="O107" s="253">
        <f t="shared" si="28"/>
        <v>0</v>
      </c>
      <c r="P107" s="253">
        <f t="shared" si="29"/>
        <v>0</v>
      </c>
      <c r="Q107" s="253">
        <f t="shared" si="30"/>
        <v>0</v>
      </c>
      <c r="R107" s="253">
        <f t="shared" si="36"/>
        <v>0</v>
      </c>
      <c r="S107" s="256"/>
      <c r="T107" s="256"/>
      <c r="U107" s="253">
        <f t="shared" si="37"/>
        <v>0</v>
      </c>
      <c r="V107" s="256"/>
      <c r="W107" s="258"/>
      <c r="X107" s="240"/>
    </row>
    <row r="108" spans="1:24" ht="21">
      <c r="A108" s="250">
        <v>2762</v>
      </c>
      <c r="B108" s="247">
        <v>7</v>
      </c>
      <c r="C108" s="247">
        <v>6</v>
      </c>
      <c r="D108" s="247">
        <v>2</v>
      </c>
      <c r="E108" s="255" t="s">
        <v>716</v>
      </c>
      <c r="F108" s="253">
        <f t="shared" si="33"/>
        <v>300</v>
      </c>
      <c r="G108" s="256">
        <v>300</v>
      </c>
      <c r="H108" s="256"/>
      <c r="I108" s="253"/>
      <c r="J108" s="256"/>
      <c r="K108" s="256"/>
      <c r="L108" s="253"/>
      <c r="M108" s="257"/>
      <c r="N108" s="257"/>
      <c r="O108" s="253">
        <f t="shared" si="28"/>
        <v>0</v>
      </c>
      <c r="P108" s="253">
        <f t="shared" si="29"/>
        <v>0</v>
      </c>
      <c r="Q108" s="253">
        <f t="shared" si="30"/>
        <v>0</v>
      </c>
      <c r="R108" s="253"/>
      <c r="S108" s="256"/>
      <c r="T108" s="256"/>
      <c r="U108" s="253"/>
      <c r="V108" s="256"/>
      <c r="W108" s="258"/>
      <c r="X108" s="240"/>
    </row>
    <row r="109" spans="1:24" ht="21">
      <c r="A109" s="250" t="s">
        <v>300</v>
      </c>
      <c r="B109" s="247" t="s">
        <v>301</v>
      </c>
      <c r="C109" s="247" t="s">
        <v>194</v>
      </c>
      <c r="D109" s="247" t="s">
        <v>194</v>
      </c>
      <c r="E109" s="259" t="s">
        <v>302</v>
      </c>
      <c r="F109" s="253">
        <f t="shared" si="33"/>
        <v>250778.90000000002</v>
      </c>
      <c r="G109" s="260">
        <f>+G111+G114+G122+G125</f>
        <v>115366.7</v>
      </c>
      <c r="H109" s="260">
        <f>+H111+H114+H122+H125</f>
        <v>135412.2</v>
      </c>
      <c r="I109" s="253">
        <f t="shared" si="34"/>
        <v>346145.5</v>
      </c>
      <c r="J109" s="260">
        <f>+J111+J114+J122+J125</f>
        <v>161731.8</v>
      </c>
      <c r="K109" s="260">
        <f>+K111+K114+K122+K125</f>
        <v>184413.7</v>
      </c>
      <c r="L109" s="253">
        <f t="shared" si="35"/>
        <v>147500</v>
      </c>
      <c r="M109" s="261">
        <f>+M111+M114+M122+M125</f>
        <v>147500</v>
      </c>
      <c r="N109" s="261">
        <f>+N111+N114+N122+N125</f>
        <v>0</v>
      </c>
      <c r="O109" s="253">
        <f t="shared" si="28"/>
        <v>-198645.5</v>
      </c>
      <c r="P109" s="253">
        <f t="shared" si="29"/>
        <v>-14231.799999999988</v>
      </c>
      <c r="Q109" s="253">
        <f t="shared" si="30"/>
        <v>-184413.7</v>
      </c>
      <c r="R109" s="253">
        <f t="shared" si="36"/>
        <v>371000</v>
      </c>
      <c r="S109" s="260">
        <f>+S111+S114+S122+S125</f>
        <v>166000</v>
      </c>
      <c r="T109" s="260">
        <f>+T111+T114+T122+T125</f>
        <v>205000</v>
      </c>
      <c r="U109" s="253">
        <f t="shared" si="37"/>
        <v>226000</v>
      </c>
      <c r="V109" s="260">
        <f>+V111+V114+V122+V125</f>
        <v>111000</v>
      </c>
      <c r="W109" s="260">
        <f>+W111+W114+W122+W125</f>
        <v>115000</v>
      </c>
      <c r="X109" s="240"/>
    </row>
    <row r="110" spans="1:24" ht="10.5">
      <c r="A110" s="250"/>
      <c r="B110" s="247"/>
      <c r="C110" s="247"/>
      <c r="D110" s="247"/>
      <c r="E110" s="255" t="s">
        <v>5</v>
      </c>
      <c r="F110" s="253">
        <f t="shared" si="33"/>
        <v>0</v>
      </c>
      <c r="G110" s="256"/>
      <c r="H110" s="256"/>
      <c r="I110" s="253">
        <f t="shared" si="34"/>
        <v>0</v>
      </c>
      <c r="J110" s="256"/>
      <c r="K110" s="256"/>
      <c r="L110" s="253">
        <f t="shared" si="35"/>
        <v>0</v>
      </c>
      <c r="M110" s="257"/>
      <c r="N110" s="257"/>
      <c r="O110" s="253">
        <f t="shared" si="28"/>
        <v>0</v>
      </c>
      <c r="P110" s="253">
        <f t="shared" si="29"/>
        <v>0</v>
      </c>
      <c r="Q110" s="253">
        <f t="shared" si="30"/>
        <v>0</v>
      </c>
      <c r="R110" s="253">
        <f t="shared" si="36"/>
        <v>0</v>
      </c>
      <c r="S110" s="256"/>
      <c r="T110" s="256"/>
      <c r="U110" s="253">
        <f t="shared" si="37"/>
        <v>0</v>
      </c>
      <c r="V110" s="256"/>
      <c r="W110" s="258"/>
      <c r="X110" s="240"/>
    </row>
    <row r="111" spans="1:24" ht="21">
      <c r="A111" s="250" t="s">
        <v>303</v>
      </c>
      <c r="B111" s="247" t="s">
        <v>301</v>
      </c>
      <c r="C111" s="247" t="s">
        <v>197</v>
      </c>
      <c r="D111" s="247" t="s">
        <v>194</v>
      </c>
      <c r="E111" s="259" t="s">
        <v>304</v>
      </c>
      <c r="F111" s="253">
        <f t="shared" si="33"/>
        <v>67191.4</v>
      </c>
      <c r="G111" s="260">
        <f>+G113</f>
        <v>2369.4</v>
      </c>
      <c r="H111" s="260">
        <f>+H113</f>
        <v>64822</v>
      </c>
      <c r="I111" s="253">
        <f t="shared" si="34"/>
        <v>175544</v>
      </c>
      <c r="J111" s="260">
        <f aca="true" t="shared" si="45" ref="J111:W111">+J113</f>
        <v>10000</v>
      </c>
      <c r="K111" s="260">
        <f t="shared" si="45"/>
        <v>165544</v>
      </c>
      <c r="L111" s="253">
        <f t="shared" si="35"/>
        <v>6000</v>
      </c>
      <c r="M111" s="261">
        <f t="shared" si="45"/>
        <v>6000</v>
      </c>
      <c r="N111" s="261">
        <f t="shared" si="45"/>
        <v>0</v>
      </c>
      <c r="O111" s="253">
        <f t="shared" si="28"/>
        <v>-169544</v>
      </c>
      <c r="P111" s="253">
        <f t="shared" si="29"/>
        <v>-4000</v>
      </c>
      <c r="Q111" s="253">
        <f t="shared" si="30"/>
        <v>-165544</v>
      </c>
      <c r="R111" s="253">
        <f t="shared" si="36"/>
        <v>65000</v>
      </c>
      <c r="S111" s="260">
        <f t="shared" si="45"/>
        <v>10000</v>
      </c>
      <c r="T111" s="260">
        <f t="shared" si="45"/>
        <v>55000</v>
      </c>
      <c r="U111" s="253">
        <f t="shared" si="37"/>
        <v>25000</v>
      </c>
      <c r="V111" s="260">
        <f t="shared" si="45"/>
        <v>10000</v>
      </c>
      <c r="W111" s="260">
        <f t="shared" si="45"/>
        <v>15000</v>
      </c>
      <c r="X111" s="240"/>
    </row>
    <row r="112" spans="1:24" ht="10.5">
      <c r="A112" s="250"/>
      <c r="B112" s="247"/>
      <c r="C112" s="247"/>
      <c r="D112" s="247"/>
      <c r="E112" s="255" t="s">
        <v>199</v>
      </c>
      <c r="F112" s="253">
        <f t="shared" si="33"/>
        <v>0</v>
      </c>
      <c r="G112" s="256"/>
      <c r="H112" s="256"/>
      <c r="I112" s="253">
        <f t="shared" si="34"/>
        <v>0</v>
      </c>
      <c r="J112" s="256"/>
      <c r="K112" s="256"/>
      <c r="L112" s="253">
        <f t="shared" si="35"/>
        <v>0</v>
      </c>
      <c r="M112" s="257"/>
      <c r="N112" s="257"/>
      <c r="O112" s="253">
        <f t="shared" si="28"/>
        <v>0</v>
      </c>
      <c r="P112" s="253">
        <f t="shared" si="29"/>
        <v>0</v>
      </c>
      <c r="Q112" s="253">
        <f t="shared" si="30"/>
        <v>0</v>
      </c>
      <c r="R112" s="253">
        <f t="shared" si="36"/>
        <v>0</v>
      </c>
      <c r="S112" s="256"/>
      <c r="T112" s="256"/>
      <c r="U112" s="253">
        <f t="shared" si="37"/>
        <v>0</v>
      </c>
      <c r="V112" s="256"/>
      <c r="W112" s="258"/>
      <c r="X112" s="240"/>
    </row>
    <row r="113" spans="1:24" ht="21">
      <c r="A113" s="250" t="s">
        <v>305</v>
      </c>
      <c r="B113" s="247" t="s">
        <v>301</v>
      </c>
      <c r="C113" s="247" t="s">
        <v>197</v>
      </c>
      <c r="D113" s="247" t="s">
        <v>197</v>
      </c>
      <c r="E113" s="255" t="s">
        <v>304</v>
      </c>
      <c r="F113" s="253">
        <f t="shared" si="33"/>
        <v>67191.4</v>
      </c>
      <c r="G113" s="256">
        <v>2369.4</v>
      </c>
      <c r="H113" s="256">
        <v>64822</v>
      </c>
      <c r="I113" s="253">
        <f t="shared" si="34"/>
        <v>175544</v>
      </c>
      <c r="J113" s="256">
        <v>10000</v>
      </c>
      <c r="K113" s="256">
        <v>165544</v>
      </c>
      <c r="L113" s="253">
        <f t="shared" si="35"/>
        <v>6000</v>
      </c>
      <c r="M113" s="257">
        <v>6000</v>
      </c>
      <c r="N113" s="257"/>
      <c r="O113" s="253">
        <f t="shared" si="28"/>
        <v>-169544</v>
      </c>
      <c r="P113" s="253">
        <f t="shared" si="29"/>
        <v>-4000</v>
      </c>
      <c r="Q113" s="253">
        <f t="shared" si="30"/>
        <v>-165544</v>
      </c>
      <c r="R113" s="253">
        <f t="shared" si="36"/>
        <v>65000</v>
      </c>
      <c r="S113" s="256">
        <v>10000</v>
      </c>
      <c r="T113" s="256">
        <f>10000+25000+20000</f>
        <v>55000</v>
      </c>
      <c r="U113" s="253">
        <f t="shared" si="37"/>
        <v>25000</v>
      </c>
      <c r="V113" s="256">
        <v>10000</v>
      </c>
      <c r="W113" s="258">
        <f>5000+10000</f>
        <v>15000</v>
      </c>
      <c r="X113" s="240"/>
    </row>
    <row r="114" spans="1:24" ht="21">
      <c r="A114" s="250" t="s">
        <v>306</v>
      </c>
      <c r="B114" s="247" t="s">
        <v>301</v>
      </c>
      <c r="C114" s="247" t="s">
        <v>221</v>
      </c>
      <c r="D114" s="247" t="s">
        <v>194</v>
      </c>
      <c r="E114" s="259" t="s">
        <v>307</v>
      </c>
      <c r="F114" s="253">
        <f t="shared" si="33"/>
        <v>176787.9</v>
      </c>
      <c r="G114" s="260">
        <f>+G116+G117+G118+G119+G120+G121</f>
        <v>106429.7</v>
      </c>
      <c r="H114" s="260">
        <f>+H116+H117+H118+H119+H120+H121</f>
        <v>70358.2</v>
      </c>
      <c r="I114" s="253">
        <f t="shared" si="34"/>
        <v>137601.5</v>
      </c>
      <c r="J114" s="260">
        <f aca="true" t="shared" si="46" ref="J114:W114">+J116+J117+J118+J119+J120+J121</f>
        <v>118731.8</v>
      </c>
      <c r="K114" s="260">
        <f t="shared" si="46"/>
        <v>18869.7</v>
      </c>
      <c r="L114" s="253">
        <f t="shared" si="35"/>
        <v>114500</v>
      </c>
      <c r="M114" s="261">
        <f t="shared" si="46"/>
        <v>114500</v>
      </c>
      <c r="N114" s="261">
        <f t="shared" si="46"/>
        <v>0</v>
      </c>
      <c r="O114" s="253">
        <f t="shared" si="28"/>
        <v>-23101.5</v>
      </c>
      <c r="P114" s="253">
        <f t="shared" si="29"/>
        <v>-4231.800000000003</v>
      </c>
      <c r="Q114" s="253">
        <f t="shared" si="30"/>
        <v>-18869.7</v>
      </c>
      <c r="R114" s="253">
        <f t="shared" si="36"/>
        <v>271000</v>
      </c>
      <c r="S114" s="260">
        <f t="shared" si="46"/>
        <v>121000</v>
      </c>
      <c r="T114" s="260">
        <f t="shared" si="46"/>
        <v>150000</v>
      </c>
      <c r="U114" s="253">
        <f t="shared" si="37"/>
        <v>201000</v>
      </c>
      <c r="V114" s="260">
        <f t="shared" si="46"/>
        <v>101000</v>
      </c>
      <c r="W114" s="260">
        <f t="shared" si="46"/>
        <v>100000</v>
      </c>
      <c r="X114" s="240"/>
    </row>
    <row r="115" spans="1:24" ht="10.5">
      <c r="A115" s="250"/>
      <c r="B115" s="247"/>
      <c r="C115" s="247"/>
      <c r="D115" s="247"/>
      <c r="E115" s="255" t="s">
        <v>199</v>
      </c>
      <c r="F115" s="253">
        <f t="shared" si="33"/>
        <v>0</v>
      </c>
      <c r="G115" s="256"/>
      <c r="H115" s="256"/>
      <c r="I115" s="253">
        <f t="shared" si="34"/>
        <v>0</v>
      </c>
      <c r="J115" s="256"/>
      <c r="K115" s="256"/>
      <c r="L115" s="253">
        <f t="shared" si="35"/>
        <v>0</v>
      </c>
      <c r="M115" s="257"/>
      <c r="N115" s="257"/>
      <c r="O115" s="253">
        <f t="shared" si="28"/>
        <v>0</v>
      </c>
      <c r="P115" s="253">
        <f t="shared" si="29"/>
        <v>0</v>
      </c>
      <c r="Q115" s="253">
        <f t="shared" si="30"/>
        <v>0</v>
      </c>
      <c r="R115" s="253">
        <f t="shared" si="36"/>
        <v>0</v>
      </c>
      <c r="S115" s="256"/>
      <c r="T115" s="256"/>
      <c r="U115" s="253">
        <f t="shared" si="37"/>
        <v>0</v>
      </c>
      <c r="V115" s="256"/>
      <c r="W115" s="258"/>
      <c r="X115" s="240"/>
    </row>
    <row r="116" spans="1:24" ht="21">
      <c r="A116" s="250" t="s">
        <v>308</v>
      </c>
      <c r="B116" s="247" t="s">
        <v>301</v>
      </c>
      <c r="C116" s="247" t="s">
        <v>221</v>
      </c>
      <c r="D116" s="247" t="s">
        <v>197</v>
      </c>
      <c r="E116" s="255" t="s">
        <v>309</v>
      </c>
      <c r="F116" s="253">
        <f t="shared" si="33"/>
        <v>15500</v>
      </c>
      <c r="G116" s="256">
        <v>15500</v>
      </c>
      <c r="H116" s="256"/>
      <c r="I116" s="253">
        <f t="shared" si="34"/>
        <v>20000</v>
      </c>
      <c r="J116" s="256">
        <v>20000</v>
      </c>
      <c r="K116" s="256"/>
      <c r="L116" s="253">
        <f t="shared" si="35"/>
        <v>21000</v>
      </c>
      <c r="M116" s="257">
        <v>21000</v>
      </c>
      <c r="N116" s="257"/>
      <c r="O116" s="253">
        <f t="shared" si="28"/>
        <v>1000</v>
      </c>
      <c r="P116" s="253">
        <f t="shared" si="29"/>
        <v>1000</v>
      </c>
      <c r="Q116" s="253">
        <f t="shared" si="30"/>
        <v>0</v>
      </c>
      <c r="R116" s="253">
        <f t="shared" si="36"/>
        <v>20000</v>
      </c>
      <c r="S116" s="256">
        <v>20000</v>
      </c>
      <c r="T116" s="256"/>
      <c r="U116" s="253">
        <f t="shared" si="37"/>
        <v>0</v>
      </c>
      <c r="V116" s="256"/>
      <c r="W116" s="258"/>
      <c r="X116" s="240"/>
    </row>
    <row r="117" spans="1:24" ht="21">
      <c r="A117" s="250" t="s">
        <v>310</v>
      </c>
      <c r="B117" s="247" t="s">
        <v>301</v>
      </c>
      <c r="C117" s="247" t="s">
        <v>221</v>
      </c>
      <c r="D117" s="247" t="s">
        <v>221</v>
      </c>
      <c r="E117" s="255" t="s">
        <v>311</v>
      </c>
      <c r="F117" s="253">
        <f t="shared" si="33"/>
        <v>0</v>
      </c>
      <c r="G117" s="256"/>
      <c r="H117" s="256"/>
      <c r="I117" s="253">
        <f t="shared" si="34"/>
        <v>0</v>
      </c>
      <c r="J117" s="256"/>
      <c r="K117" s="256"/>
      <c r="L117" s="253">
        <f t="shared" si="35"/>
        <v>0</v>
      </c>
      <c r="M117" s="257"/>
      <c r="N117" s="257"/>
      <c r="O117" s="253">
        <f t="shared" si="28"/>
        <v>0</v>
      </c>
      <c r="P117" s="253">
        <f t="shared" si="29"/>
        <v>0</v>
      </c>
      <c r="Q117" s="253">
        <f t="shared" si="30"/>
        <v>0</v>
      </c>
      <c r="R117" s="253">
        <f t="shared" si="36"/>
        <v>0</v>
      </c>
      <c r="S117" s="256"/>
      <c r="T117" s="256"/>
      <c r="U117" s="253">
        <f t="shared" si="37"/>
        <v>0</v>
      </c>
      <c r="V117" s="256"/>
      <c r="W117" s="258"/>
      <c r="X117" s="240"/>
    </row>
    <row r="118" spans="1:24" ht="21">
      <c r="A118" s="250" t="s">
        <v>312</v>
      </c>
      <c r="B118" s="247" t="s">
        <v>301</v>
      </c>
      <c r="C118" s="247" t="s">
        <v>221</v>
      </c>
      <c r="D118" s="247" t="s">
        <v>203</v>
      </c>
      <c r="E118" s="255" t="s">
        <v>313</v>
      </c>
      <c r="F118" s="253">
        <f t="shared" si="33"/>
        <v>138160.4</v>
      </c>
      <c r="G118" s="256">
        <v>81084.5</v>
      </c>
      <c r="H118" s="256">
        <v>57075.9</v>
      </c>
      <c r="I118" s="253">
        <f t="shared" si="34"/>
        <v>24601.5</v>
      </c>
      <c r="J118" s="256">
        <v>5731.8</v>
      </c>
      <c r="K118" s="256">
        <v>18869.7</v>
      </c>
      <c r="L118" s="253">
        <f t="shared" si="35"/>
        <v>0</v>
      </c>
      <c r="M118" s="257"/>
      <c r="N118" s="257"/>
      <c r="O118" s="253">
        <f t="shared" si="28"/>
        <v>-24601.5</v>
      </c>
      <c r="P118" s="253">
        <f t="shared" si="29"/>
        <v>-5731.8</v>
      </c>
      <c r="Q118" s="253">
        <f t="shared" si="30"/>
        <v>-18869.7</v>
      </c>
      <c r="R118" s="253">
        <f t="shared" si="36"/>
        <v>156000</v>
      </c>
      <c r="S118" s="256">
        <v>6000</v>
      </c>
      <c r="T118" s="256">
        <v>150000</v>
      </c>
      <c r="U118" s="253">
        <f t="shared" si="37"/>
        <v>106000</v>
      </c>
      <c r="V118" s="256">
        <v>6000</v>
      </c>
      <c r="W118" s="258">
        <v>100000</v>
      </c>
      <c r="X118" s="240"/>
    </row>
    <row r="119" spans="1:24" ht="21">
      <c r="A119" s="250" t="s">
        <v>314</v>
      </c>
      <c r="B119" s="247" t="s">
        <v>301</v>
      </c>
      <c r="C119" s="247" t="s">
        <v>221</v>
      </c>
      <c r="D119" s="247" t="s">
        <v>237</v>
      </c>
      <c r="E119" s="255" t="s">
        <v>315</v>
      </c>
      <c r="F119" s="253">
        <f t="shared" si="33"/>
        <v>9912.4</v>
      </c>
      <c r="G119" s="256">
        <v>8876.8</v>
      </c>
      <c r="H119" s="256">
        <v>1035.6</v>
      </c>
      <c r="I119" s="253">
        <f t="shared" si="34"/>
        <v>93000</v>
      </c>
      <c r="J119" s="256">
        <v>93000</v>
      </c>
      <c r="K119" s="256"/>
      <c r="L119" s="253">
        <f t="shared" si="35"/>
        <v>93500</v>
      </c>
      <c r="M119" s="257">
        <v>93500</v>
      </c>
      <c r="N119" s="257"/>
      <c r="O119" s="253">
        <f t="shared" si="28"/>
        <v>500</v>
      </c>
      <c r="P119" s="253">
        <f t="shared" si="29"/>
        <v>500</v>
      </c>
      <c r="Q119" s="253">
        <f t="shared" si="30"/>
        <v>0</v>
      </c>
      <c r="R119" s="253">
        <f t="shared" si="36"/>
        <v>95000</v>
      </c>
      <c r="S119" s="256">
        <v>95000</v>
      </c>
      <c r="T119" s="256"/>
      <c r="U119" s="253">
        <f t="shared" si="37"/>
        <v>95000</v>
      </c>
      <c r="V119" s="256">
        <v>95000</v>
      </c>
      <c r="W119" s="258"/>
      <c r="X119" s="240"/>
    </row>
    <row r="120" spans="1:24" ht="21">
      <c r="A120" s="250" t="s">
        <v>316</v>
      </c>
      <c r="B120" s="247" t="s">
        <v>301</v>
      </c>
      <c r="C120" s="247" t="s">
        <v>221</v>
      </c>
      <c r="D120" s="247" t="s">
        <v>210</v>
      </c>
      <c r="E120" s="255" t="s">
        <v>317</v>
      </c>
      <c r="F120" s="253">
        <f t="shared" si="33"/>
        <v>0</v>
      </c>
      <c r="G120" s="256"/>
      <c r="H120" s="256"/>
      <c r="I120" s="253">
        <f t="shared" si="34"/>
        <v>0</v>
      </c>
      <c r="J120" s="256"/>
      <c r="K120" s="256"/>
      <c r="L120" s="253">
        <f t="shared" si="35"/>
        <v>0</v>
      </c>
      <c r="M120" s="257"/>
      <c r="N120" s="257"/>
      <c r="O120" s="253">
        <f t="shared" si="28"/>
        <v>0</v>
      </c>
      <c r="P120" s="253">
        <f t="shared" si="29"/>
        <v>0</v>
      </c>
      <c r="Q120" s="253">
        <f t="shared" si="30"/>
        <v>0</v>
      </c>
      <c r="R120" s="253">
        <f t="shared" si="36"/>
        <v>0</v>
      </c>
      <c r="S120" s="256"/>
      <c r="T120" s="256"/>
      <c r="U120" s="253">
        <f t="shared" si="37"/>
        <v>0</v>
      </c>
      <c r="V120" s="256"/>
      <c r="W120" s="258"/>
      <c r="X120" s="240"/>
    </row>
    <row r="121" spans="1:24" ht="31.5">
      <c r="A121" s="250" t="s">
        <v>318</v>
      </c>
      <c r="B121" s="247" t="s">
        <v>301</v>
      </c>
      <c r="C121" s="247" t="s">
        <v>221</v>
      </c>
      <c r="D121" s="247" t="s">
        <v>250</v>
      </c>
      <c r="E121" s="255" t="s">
        <v>319</v>
      </c>
      <c r="F121" s="253">
        <f t="shared" si="33"/>
        <v>13215.1</v>
      </c>
      <c r="G121" s="256">
        <v>968.4</v>
      </c>
      <c r="H121" s="256">
        <v>12246.7</v>
      </c>
      <c r="I121" s="253">
        <f t="shared" si="34"/>
        <v>0</v>
      </c>
      <c r="J121" s="256"/>
      <c r="K121" s="256"/>
      <c r="L121" s="253">
        <f t="shared" si="35"/>
        <v>0</v>
      </c>
      <c r="M121" s="257"/>
      <c r="N121" s="257"/>
      <c r="O121" s="253">
        <f t="shared" si="28"/>
        <v>0</v>
      </c>
      <c r="P121" s="253">
        <f t="shared" si="29"/>
        <v>0</v>
      </c>
      <c r="Q121" s="253">
        <f t="shared" si="30"/>
        <v>0</v>
      </c>
      <c r="R121" s="253">
        <f t="shared" si="36"/>
        <v>0</v>
      </c>
      <c r="S121" s="256"/>
      <c r="T121" s="256"/>
      <c r="U121" s="253">
        <f t="shared" si="37"/>
        <v>0</v>
      </c>
      <c r="V121" s="256"/>
      <c r="W121" s="258"/>
      <c r="X121" s="240"/>
    </row>
    <row r="122" spans="1:24" ht="52.5">
      <c r="A122" s="43" t="s">
        <v>658</v>
      </c>
      <c r="B122" s="43" t="s">
        <v>629</v>
      </c>
      <c r="C122" s="43" t="s">
        <v>203</v>
      </c>
      <c r="D122" s="43" t="s">
        <v>194</v>
      </c>
      <c r="E122" s="255" t="s">
        <v>659</v>
      </c>
      <c r="F122" s="253">
        <f t="shared" si="33"/>
        <v>1887.6</v>
      </c>
      <c r="G122" s="256">
        <f>+G123+G124</f>
        <v>1887.6</v>
      </c>
      <c r="H122" s="256">
        <f>+H123+H124</f>
        <v>0</v>
      </c>
      <c r="I122" s="253">
        <f t="shared" si="34"/>
        <v>6000</v>
      </c>
      <c r="J122" s="256">
        <f>+J123+J124</f>
        <v>6000</v>
      </c>
      <c r="K122" s="256">
        <f aca="true" t="shared" si="47" ref="K122:W122">+K123+K124</f>
        <v>0</v>
      </c>
      <c r="L122" s="253">
        <f t="shared" si="35"/>
        <v>5000</v>
      </c>
      <c r="M122" s="257">
        <f t="shared" si="47"/>
        <v>5000</v>
      </c>
      <c r="N122" s="257">
        <f t="shared" si="47"/>
        <v>0</v>
      </c>
      <c r="O122" s="253">
        <f t="shared" si="28"/>
        <v>-1000</v>
      </c>
      <c r="P122" s="253">
        <f t="shared" si="29"/>
        <v>-1000</v>
      </c>
      <c r="Q122" s="253">
        <f t="shared" si="30"/>
        <v>0</v>
      </c>
      <c r="R122" s="253">
        <f t="shared" si="36"/>
        <v>6000</v>
      </c>
      <c r="S122" s="256">
        <f t="shared" si="47"/>
        <v>6000</v>
      </c>
      <c r="T122" s="256">
        <f t="shared" si="47"/>
        <v>0</v>
      </c>
      <c r="U122" s="253">
        <f t="shared" si="37"/>
        <v>0</v>
      </c>
      <c r="V122" s="256">
        <f t="shared" si="47"/>
        <v>0</v>
      </c>
      <c r="W122" s="256">
        <f t="shared" si="47"/>
        <v>0</v>
      </c>
      <c r="X122" s="240"/>
    </row>
    <row r="123" spans="1:24" ht="30">
      <c r="A123" s="43" t="s">
        <v>660</v>
      </c>
      <c r="B123" s="43" t="s">
        <v>629</v>
      </c>
      <c r="C123" s="43" t="s">
        <v>203</v>
      </c>
      <c r="D123" s="43" t="s">
        <v>197</v>
      </c>
      <c r="E123" s="43" t="s">
        <v>661</v>
      </c>
      <c r="F123" s="253">
        <f t="shared" si="33"/>
        <v>0</v>
      </c>
      <c r="G123" s="256"/>
      <c r="H123" s="256"/>
      <c r="I123" s="253">
        <f t="shared" si="34"/>
        <v>4000</v>
      </c>
      <c r="J123" s="256">
        <v>4000</v>
      </c>
      <c r="K123" s="256"/>
      <c r="L123" s="253">
        <f t="shared" si="35"/>
        <v>3000</v>
      </c>
      <c r="M123" s="257">
        <v>3000</v>
      </c>
      <c r="N123" s="257"/>
      <c r="O123" s="253">
        <f t="shared" si="28"/>
        <v>-1000</v>
      </c>
      <c r="P123" s="253">
        <f t="shared" si="29"/>
        <v>-1000</v>
      </c>
      <c r="Q123" s="253">
        <f t="shared" si="30"/>
        <v>0</v>
      </c>
      <c r="R123" s="253">
        <f t="shared" si="36"/>
        <v>4000</v>
      </c>
      <c r="S123" s="256">
        <v>4000</v>
      </c>
      <c r="T123" s="256"/>
      <c r="U123" s="253">
        <f t="shared" si="37"/>
        <v>0</v>
      </c>
      <c r="V123" s="256"/>
      <c r="W123" s="258"/>
      <c r="X123" s="240"/>
    </row>
    <row r="124" spans="1:24" ht="15">
      <c r="A124" s="43">
        <v>2833</v>
      </c>
      <c r="B124" s="43" t="s">
        <v>629</v>
      </c>
      <c r="C124" s="43" t="s">
        <v>203</v>
      </c>
      <c r="D124" s="43">
        <v>3</v>
      </c>
      <c r="E124" s="264" t="s">
        <v>683</v>
      </c>
      <c r="F124" s="253">
        <f t="shared" si="33"/>
        <v>1887.6</v>
      </c>
      <c r="G124" s="256">
        <v>1887.6</v>
      </c>
      <c r="H124" s="256"/>
      <c r="I124" s="253">
        <f>+J124+K124</f>
        <v>2000</v>
      </c>
      <c r="J124" s="256">
        <v>2000</v>
      </c>
      <c r="K124" s="256"/>
      <c r="L124" s="253">
        <f t="shared" si="35"/>
        <v>2000</v>
      </c>
      <c r="M124" s="257">
        <v>2000</v>
      </c>
      <c r="N124" s="257"/>
      <c r="O124" s="253">
        <f t="shared" si="28"/>
        <v>0</v>
      </c>
      <c r="P124" s="253">
        <f t="shared" si="29"/>
        <v>0</v>
      </c>
      <c r="Q124" s="253">
        <f t="shared" si="30"/>
        <v>0</v>
      </c>
      <c r="R124" s="253">
        <f t="shared" si="36"/>
        <v>2000</v>
      </c>
      <c r="S124" s="256">
        <v>2000</v>
      </c>
      <c r="T124" s="256"/>
      <c r="U124" s="253">
        <f t="shared" si="37"/>
        <v>0</v>
      </c>
      <c r="V124" s="256"/>
      <c r="W124" s="258"/>
      <c r="X124" s="240"/>
    </row>
    <row r="125" spans="1:24" ht="21">
      <c r="A125" s="250" t="s">
        <v>320</v>
      </c>
      <c r="B125" s="247" t="s">
        <v>301</v>
      </c>
      <c r="C125" s="247" t="s">
        <v>237</v>
      </c>
      <c r="D125" s="247" t="s">
        <v>194</v>
      </c>
      <c r="E125" s="259" t="s">
        <v>321</v>
      </c>
      <c r="F125" s="253">
        <f t="shared" si="33"/>
        <v>4912</v>
      </c>
      <c r="G125" s="260">
        <f>+G127+G128+G129</f>
        <v>4680</v>
      </c>
      <c r="H125" s="260">
        <f>+H127+H128+H129</f>
        <v>232</v>
      </c>
      <c r="I125" s="253">
        <f t="shared" si="34"/>
        <v>27000</v>
      </c>
      <c r="J125" s="260">
        <f aca="true" t="shared" si="48" ref="J125:W125">+J127+J128+J129</f>
        <v>27000</v>
      </c>
      <c r="K125" s="260">
        <f t="shared" si="48"/>
        <v>0</v>
      </c>
      <c r="L125" s="253">
        <f t="shared" si="35"/>
        <v>22000</v>
      </c>
      <c r="M125" s="261">
        <f t="shared" si="48"/>
        <v>22000</v>
      </c>
      <c r="N125" s="261">
        <f t="shared" si="48"/>
        <v>0</v>
      </c>
      <c r="O125" s="253">
        <f t="shared" si="28"/>
        <v>-5000</v>
      </c>
      <c r="P125" s="253">
        <f t="shared" si="29"/>
        <v>-5000</v>
      </c>
      <c r="Q125" s="253">
        <f t="shared" si="30"/>
        <v>0</v>
      </c>
      <c r="R125" s="253">
        <f t="shared" si="36"/>
        <v>29000</v>
      </c>
      <c r="S125" s="260">
        <f t="shared" si="48"/>
        <v>29000</v>
      </c>
      <c r="T125" s="260">
        <f t="shared" si="48"/>
        <v>0</v>
      </c>
      <c r="U125" s="253">
        <f t="shared" si="37"/>
        <v>0</v>
      </c>
      <c r="V125" s="260">
        <f t="shared" si="48"/>
        <v>0</v>
      </c>
      <c r="W125" s="260">
        <f t="shared" si="48"/>
        <v>0</v>
      </c>
      <c r="X125" s="240"/>
    </row>
    <row r="126" spans="1:24" ht="10.5">
      <c r="A126" s="250"/>
      <c r="B126" s="247"/>
      <c r="C126" s="247"/>
      <c r="D126" s="247"/>
      <c r="E126" s="255" t="s">
        <v>199</v>
      </c>
      <c r="F126" s="253">
        <f t="shared" si="33"/>
        <v>0</v>
      </c>
      <c r="G126" s="256"/>
      <c r="H126" s="256"/>
      <c r="I126" s="253">
        <f t="shared" si="34"/>
        <v>0</v>
      </c>
      <c r="J126" s="256"/>
      <c r="K126" s="256"/>
      <c r="L126" s="253">
        <f t="shared" si="35"/>
        <v>0</v>
      </c>
      <c r="M126" s="257"/>
      <c r="N126" s="257"/>
      <c r="O126" s="253">
        <f t="shared" si="28"/>
        <v>0</v>
      </c>
      <c r="P126" s="253">
        <f t="shared" si="29"/>
        <v>0</v>
      </c>
      <c r="Q126" s="253">
        <f t="shared" si="30"/>
        <v>0</v>
      </c>
      <c r="R126" s="253">
        <f t="shared" si="36"/>
        <v>0</v>
      </c>
      <c r="S126" s="256"/>
      <c r="T126" s="256"/>
      <c r="U126" s="253">
        <f t="shared" si="37"/>
        <v>0</v>
      </c>
      <c r="V126" s="256"/>
      <c r="W126" s="258"/>
      <c r="X126" s="240"/>
    </row>
    <row r="127" spans="1:24" ht="21">
      <c r="A127" s="250" t="s">
        <v>322</v>
      </c>
      <c r="B127" s="247" t="s">
        <v>301</v>
      </c>
      <c r="C127" s="247" t="s">
        <v>237</v>
      </c>
      <c r="D127" s="247" t="s">
        <v>197</v>
      </c>
      <c r="E127" s="255" t="s">
        <v>323</v>
      </c>
      <c r="F127" s="253">
        <f t="shared" si="33"/>
        <v>0</v>
      </c>
      <c r="G127" s="256"/>
      <c r="H127" s="256"/>
      <c r="I127" s="253">
        <f t="shared" si="34"/>
        <v>0</v>
      </c>
      <c r="J127" s="256"/>
      <c r="K127" s="256"/>
      <c r="L127" s="253">
        <f t="shared" si="35"/>
        <v>0</v>
      </c>
      <c r="M127" s="257"/>
      <c r="N127" s="257"/>
      <c r="O127" s="253">
        <f t="shared" si="28"/>
        <v>0</v>
      </c>
      <c r="P127" s="253">
        <f t="shared" si="29"/>
        <v>0</v>
      </c>
      <c r="Q127" s="253">
        <f t="shared" si="30"/>
        <v>0</v>
      </c>
      <c r="R127" s="253">
        <f t="shared" si="36"/>
        <v>0</v>
      </c>
      <c r="S127" s="256"/>
      <c r="T127" s="256"/>
      <c r="U127" s="253">
        <f t="shared" si="37"/>
        <v>0</v>
      </c>
      <c r="V127" s="256"/>
      <c r="W127" s="258"/>
      <c r="X127" s="240"/>
    </row>
    <row r="128" spans="1:24" ht="42">
      <c r="A128" s="250">
        <v>2842</v>
      </c>
      <c r="B128" s="247" t="s">
        <v>301</v>
      </c>
      <c r="C128" s="247" t="s">
        <v>237</v>
      </c>
      <c r="D128" s="247">
        <v>2</v>
      </c>
      <c r="E128" s="255" t="s">
        <v>630</v>
      </c>
      <c r="F128" s="253">
        <f t="shared" si="33"/>
        <v>4474.2</v>
      </c>
      <c r="G128" s="256">
        <v>4474.2</v>
      </c>
      <c r="H128" s="256"/>
      <c r="I128" s="253">
        <f t="shared" si="34"/>
        <v>27000</v>
      </c>
      <c r="J128" s="256">
        <v>27000</v>
      </c>
      <c r="K128" s="256"/>
      <c r="L128" s="253">
        <f t="shared" si="35"/>
        <v>22000</v>
      </c>
      <c r="M128" s="257">
        <v>22000</v>
      </c>
      <c r="N128" s="257"/>
      <c r="O128" s="253">
        <f t="shared" si="28"/>
        <v>-5000</v>
      </c>
      <c r="P128" s="253">
        <f t="shared" si="29"/>
        <v>-5000</v>
      </c>
      <c r="Q128" s="253">
        <f t="shared" si="30"/>
        <v>0</v>
      </c>
      <c r="R128" s="253">
        <f t="shared" si="36"/>
        <v>29000</v>
      </c>
      <c r="S128" s="256">
        <v>29000</v>
      </c>
      <c r="T128" s="256"/>
      <c r="U128" s="253">
        <f t="shared" si="37"/>
        <v>0</v>
      </c>
      <c r="V128" s="256"/>
      <c r="W128" s="258"/>
      <c r="X128" s="240"/>
    </row>
    <row r="129" spans="1:24" ht="21">
      <c r="A129" s="250" t="s">
        <v>324</v>
      </c>
      <c r="B129" s="247" t="s">
        <v>301</v>
      </c>
      <c r="C129" s="247" t="s">
        <v>237</v>
      </c>
      <c r="D129" s="247" t="s">
        <v>203</v>
      </c>
      <c r="E129" s="255" t="s">
        <v>325</v>
      </c>
      <c r="F129" s="253">
        <f t="shared" si="33"/>
        <v>437.8</v>
      </c>
      <c r="G129" s="256">
        <v>205.8</v>
      </c>
      <c r="H129" s="256">
        <v>232</v>
      </c>
      <c r="I129" s="253">
        <f t="shared" si="34"/>
        <v>0</v>
      </c>
      <c r="J129" s="256"/>
      <c r="K129" s="256"/>
      <c r="L129" s="253">
        <f t="shared" si="35"/>
        <v>0</v>
      </c>
      <c r="M129" s="257"/>
      <c r="N129" s="257"/>
      <c r="O129" s="253">
        <f t="shared" si="28"/>
        <v>0</v>
      </c>
      <c r="P129" s="253">
        <f t="shared" si="29"/>
        <v>0</v>
      </c>
      <c r="Q129" s="253">
        <f t="shared" si="30"/>
        <v>0</v>
      </c>
      <c r="R129" s="253">
        <f t="shared" si="36"/>
        <v>0</v>
      </c>
      <c r="S129" s="256"/>
      <c r="T129" s="256"/>
      <c r="U129" s="253">
        <f t="shared" si="37"/>
        <v>0</v>
      </c>
      <c r="V129" s="256"/>
      <c r="W129" s="258"/>
      <c r="X129" s="240"/>
    </row>
    <row r="130" spans="1:24" ht="21">
      <c r="A130" s="250" t="s">
        <v>326</v>
      </c>
      <c r="B130" s="247" t="s">
        <v>327</v>
      </c>
      <c r="C130" s="247" t="s">
        <v>194</v>
      </c>
      <c r="D130" s="247" t="s">
        <v>194</v>
      </c>
      <c r="E130" s="259" t="s">
        <v>328</v>
      </c>
      <c r="F130" s="253">
        <f t="shared" si="33"/>
        <v>1230091.2</v>
      </c>
      <c r="G130" s="260">
        <f>+G132+G136+G144+G147+G140+G142</f>
        <v>938714</v>
      </c>
      <c r="H130" s="260">
        <f>+H132+H136+H144+H147+H140</f>
        <v>291377.2</v>
      </c>
      <c r="I130" s="253">
        <f t="shared" si="34"/>
        <v>1290219</v>
      </c>
      <c r="J130" s="260">
        <f>+J132+J136+J142+J144+J147</f>
        <v>1024780</v>
      </c>
      <c r="K130" s="260">
        <f>+K132+K136+K144+K147</f>
        <v>265439</v>
      </c>
      <c r="L130" s="253">
        <f t="shared" si="35"/>
        <v>1246000</v>
      </c>
      <c r="M130" s="261">
        <f>+M132+M136+M144+M147</f>
        <v>1146000</v>
      </c>
      <c r="N130" s="261">
        <f>+N132+N136+N144+N147</f>
        <v>100000</v>
      </c>
      <c r="O130" s="253">
        <f t="shared" si="28"/>
        <v>-44219</v>
      </c>
      <c r="P130" s="253">
        <f t="shared" si="29"/>
        <v>121220</v>
      </c>
      <c r="Q130" s="253">
        <f t="shared" si="30"/>
        <v>-165439</v>
      </c>
      <c r="R130" s="253">
        <f t="shared" si="36"/>
        <v>1205000</v>
      </c>
      <c r="S130" s="260">
        <f>+S132+S136+S144+S147</f>
        <v>1135000</v>
      </c>
      <c r="T130" s="260">
        <f>+T132+T136+T144+T147</f>
        <v>70000</v>
      </c>
      <c r="U130" s="253">
        <f t="shared" si="37"/>
        <v>1470000</v>
      </c>
      <c r="V130" s="260">
        <f>+V132+V136+V144+V147</f>
        <v>1150000</v>
      </c>
      <c r="W130" s="260">
        <f>+W132+W136+W144+W147</f>
        <v>320000</v>
      </c>
      <c r="X130" s="240"/>
    </row>
    <row r="131" spans="1:24" ht="10.5">
      <c r="A131" s="250"/>
      <c r="B131" s="247"/>
      <c r="C131" s="247"/>
      <c r="D131" s="247"/>
      <c r="E131" s="255" t="s">
        <v>5</v>
      </c>
      <c r="F131" s="253">
        <f t="shared" si="33"/>
        <v>0</v>
      </c>
      <c r="G131" s="256"/>
      <c r="H131" s="256"/>
      <c r="I131" s="253">
        <f t="shared" si="34"/>
        <v>0</v>
      </c>
      <c r="J131" s="256"/>
      <c r="K131" s="256"/>
      <c r="L131" s="253">
        <f t="shared" si="35"/>
        <v>0</v>
      </c>
      <c r="M131" s="257"/>
      <c r="N131" s="257"/>
      <c r="O131" s="253">
        <f t="shared" si="28"/>
        <v>0</v>
      </c>
      <c r="P131" s="253">
        <f t="shared" si="29"/>
        <v>0</v>
      </c>
      <c r="Q131" s="253">
        <f t="shared" si="30"/>
        <v>0</v>
      </c>
      <c r="R131" s="253">
        <f t="shared" si="36"/>
        <v>0</v>
      </c>
      <c r="S131" s="256"/>
      <c r="T131" s="256"/>
      <c r="U131" s="253">
        <f t="shared" si="37"/>
        <v>0</v>
      </c>
      <c r="V131" s="256"/>
      <c r="W131" s="258"/>
      <c r="X131" s="240"/>
    </row>
    <row r="132" spans="1:24" ht="31.5">
      <c r="A132" s="250" t="s">
        <v>329</v>
      </c>
      <c r="B132" s="247" t="s">
        <v>327</v>
      </c>
      <c r="C132" s="247" t="s">
        <v>197</v>
      </c>
      <c r="D132" s="247" t="s">
        <v>194</v>
      </c>
      <c r="E132" s="259" t="s">
        <v>330</v>
      </c>
      <c r="F132" s="253">
        <f t="shared" si="33"/>
        <v>931330.7</v>
      </c>
      <c r="G132" s="260">
        <f>+G134+G135</f>
        <v>639953.5</v>
      </c>
      <c r="H132" s="260">
        <f>+H134+H135</f>
        <v>291377.2</v>
      </c>
      <c r="I132" s="253">
        <f t="shared" si="34"/>
        <v>991219</v>
      </c>
      <c r="J132" s="260">
        <f aca="true" t="shared" si="49" ref="J132:W132">+J134+J135</f>
        <v>730780</v>
      </c>
      <c r="K132" s="260">
        <f t="shared" si="49"/>
        <v>260439</v>
      </c>
      <c r="L132" s="253">
        <f t="shared" si="35"/>
        <v>867000</v>
      </c>
      <c r="M132" s="261">
        <f t="shared" si="49"/>
        <v>767000</v>
      </c>
      <c r="N132" s="261">
        <f t="shared" si="49"/>
        <v>100000</v>
      </c>
      <c r="O132" s="253">
        <f t="shared" si="28"/>
        <v>-124219</v>
      </c>
      <c r="P132" s="253">
        <f t="shared" si="29"/>
        <v>36220</v>
      </c>
      <c r="Q132" s="253">
        <f t="shared" si="30"/>
        <v>-160439</v>
      </c>
      <c r="R132" s="253">
        <f t="shared" si="36"/>
        <v>820000</v>
      </c>
      <c r="S132" s="260">
        <f t="shared" si="49"/>
        <v>750000</v>
      </c>
      <c r="T132" s="260">
        <f t="shared" si="49"/>
        <v>70000</v>
      </c>
      <c r="U132" s="253">
        <f t="shared" si="37"/>
        <v>970000</v>
      </c>
      <c r="V132" s="260">
        <f t="shared" si="49"/>
        <v>750000</v>
      </c>
      <c r="W132" s="260">
        <f t="shared" si="49"/>
        <v>220000</v>
      </c>
      <c r="X132" s="240"/>
    </row>
    <row r="133" spans="1:24" ht="10.5">
      <c r="A133" s="250"/>
      <c r="B133" s="247"/>
      <c r="C133" s="247"/>
      <c r="D133" s="247"/>
      <c r="E133" s="255" t="s">
        <v>199</v>
      </c>
      <c r="F133" s="253">
        <f t="shared" si="33"/>
        <v>0</v>
      </c>
      <c r="G133" s="256"/>
      <c r="H133" s="256"/>
      <c r="I133" s="253">
        <f t="shared" si="34"/>
        <v>0</v>
      </c>
      <c r="J133" s="256"/>
      <c r="K133" s="256"/>
      <c r="L133" s="253">
        <f t="shared" si="35"/>
        <v>0</v>
      </c>
      <c r="M133" s="257"/>
      <c r="N133" s="257"/>
      <c r="O133" s="253">
        <f t="shared" si="28"/>
        <v>0</v>
      </c>
      <c r="P133" s="253">
        <f t="shared" si="29"/>
        <v>0</v>
      </c>
      <c r="Q133" s="253">
        <f t="shared" si="30"/>
        <v>0</v>
      </c>
      <c r="R133" s="253">
        <f t="shared" si="36"/>
        <v>0</v>
      </c>
      <c r="S133" s="256"/>
      <c r="T133" s="256"/>
      <c r="U133" s="253">
        <f t="shared" si="37"/>
        <v>0</v>
      </c>
      <c r="V133" s="256"/>
      <c r="W133" s="258"/>
      <c r="X133" s="240"/>
    </row>
    <row r="134" spans="1:24" ht="21">
      <c r="A134" s="250" t="s">
        <v>331</v>
      </c>
      <c r="B134" s="247" t="s">
        <v>327</v>
      </c>
      <c r="C134" s="247" t="s">
        <v>197</v>
      </c>
      <c r="D134" s="247" t="s">
        <v>197</v>
      </c>
      <c r="E134" s="255" t="s">
        <v>332</v>
      </c>
      <c r="F134" s="253">
        <f t="shared" si="33"/>
        <v>930304.7</v>
      </c>
      <c r="G134" s="256">
        <v>638927.5</v>
      </c>
      <c r="H134" s="256">
        <v>291377.2</v>
      </c>
      <c r="I134" s="253">
        <f t="shared" si="34"/>
        <v>991219</v>
      </c>
      <c r="J134" s="256">
        <v>730780</v>
      </c>
      <c r="K134" s="256">
        <v>260439</v>
      </c>
      <c r="L134" s="253">
        <f t="shared" si="35"/>
        <v>867000</v>
      </c>
      <c r="M134" s="257">
        <v>767000</v>
      </c>
      <c r="N134" s="257">
        <v>100000</v>
      </c>
      <c r="O134" s="253">
        <f t="shared" si="28"/>
        <v>-124219</v>
      </c>
      <c r="P134" s="253">
        <f t="shared" si="29"/>
        <v>36220</v>
      </c>
      <c r="Q134" s="253">
        <f t="shared" si="30"/>
        <v>-160439</v>
      </c>
      <c r="R134" s="253">
        <f t="shared" si="36"/>
        <v>820000</v>
      </c>
      <c r="S134" s="256">
        <v>750000</v>
      </c>
      <c r="T134" s="256">
        <f>20000+35000+15000</f>
        <v>70000</v>
      </c>
      <c r="U134" s="253">
        <f t="shared" si="37"/>
        <v>970000</v>
      </c>
      <c r="V134" s="256">
        <v>750000</v>
      </c>
      <c r="W134" s="258">
        <f>150000+20000+35000+15000</f>
        <v>220000</v>
      </c>
      <c r="X134" s="240"/>
    </row>
    <row r="135" spans="1:24" ht="21">
      <c r="A135" s="250" t="s">
        <v>333</v>
      </c>
      <c r="B135" s="247" t="s">
        <v>327</v>
      </c>
      <c r="C135" s="247" t="s">
        <v>197</v>
      </c>
      <c r="D135" s="247" t="s">
        <v>221</v>
      </c>
      <c r="E135" s="255" t="s">
        <v>334</v>
      </c>
      <c r="F135" s="253">
        <f t="shared" si="33"/>
        <v>1026</v>
      </c>
      <c r="G135" s="256">
        <v>1026</v>
      </c>
      <c r="H135" s="256"/>
      <c r="I135" s="253">
        <f t="shared" si="34"/>
        <v>0</v>
      </c>
      <c r="J135" s="256"/>
      <c r="K135" s="256"/>
      <c r="L135" s="253">
        <f t="shared" si="35"/>
        <v>0</v>
      </c>
      <c r="M135" s="257"/>
      <c r="N135" s="257"/>
      <c r="O135" s="253">
        <f t="shared" si="28"/>
        <v>0</v>
      </c>
      <c r="P135" s="253">
        <f t="shared" si="29"/>
        <v>0</v>
      </c>
      <c r="Q135" s="253">
        <f t="shared" si="30"/>
        <v>0</v>
      </c>
      <c r="R135" s="253">
        <f t="shared" si="36"/>
        <v>0</v>
      </c>
      <c r="S135" s="256"/>
      <c r="T135" s="256"/>
      <c r="U135" s="253">
        <f t="shared" si="37"/>
        <v>0</v>
      </c>
      <c r="V135" s="256"/>
      <c r="W135" s="258"/>
      <c r="X135" s="240"/>
    </row>
    <row r="136" spans="1:24" ht="21">
      <c r="A136" s="250" t="s">
        <v>335</v>
      </c>
      <c r="B136" s="247" t="s">
        <v>327</v>
      </c>
      <c r="C136" s="247" t="s">
        <v>221</v>
      </c>
      <c r="D136" s="247" t="s">
        <v>194</v>
      </c>
      <c r="E136" s="259" t="s">
        <v>336</v>
      </c>
      <c r="F136" s="253">
        <f t="shared" si="33"/>
        <v>8669.5</v>
      </c>
      <c r="G136" s="260">
        <f>+G138+G139</f>
        <v>8669.5</v>
      </c>
      <c r="H136" s="260">
        <f>+H138+H139</f>
        <v>0</v>
      </c>
      <c r="I136" s="253">
        <f t="shared" si="34"/>
        <v>0</v>
      </c>
      <c r="J136" s="260">
        <f aca="true" t="shared" si="50" ref="J136:W136">+J137+J138</f>
        <v>0</v>
      </c>
      <c r="K136" s="260">
        <f t="shared" si="50"/>
        <v>0</v>
      </c>
      <c r="L136" s="253">
        <f t="shared" si="35"/>
        <v>0</v>
      </c>
      <c r="M136" s="261">
        <f t="shared" si="50"/>
        <v>0</v>
      </c>
      <c r="N136" s="261">
        <f t="shared" si="50"/>
        <v>0</v>
      </c>
      <c r="O136" s="253">
        <f t="shared" si="28"/>
        <v>0</v>
      </c>
      <c r="P136" s="253">
        <f t="shared" si="29"/>
        <v>0</v>
      </c>
      <c r="Q136" s="253">
        <f t="shared" si="30"/>
        <v>0</v>
      </c>
      <c r="R136" s="253">
        <f t="shared" si="36"/>
        <v>0</v>
      </c>
      <c r="S136" s="260">
        <f t="shared" si="50"/>
        <v>0</v>
      </c>
      <c r="T136" s="260">
        <f t="shared" si="50"/>
        <v>0</v>
      </c>
      <c r="U136" s="253">
        <f t="shared" si="37"/>
        <v>0</v>
      </c>
      <c r="V136" s="260">
        <f t="shared" si="50"/>
        <v>0</v>
      </c>
      <c r="W136" s="260">
        <f t="shared" si="50"/>
        <v>0</v>
      </c>
      <c r="X136" s="240"/>
    </row>
    <row r="137" spans="1:24" ht="10.5">
      <c r="A137" s="250"/>
      <c r="B137" s="247"/>
      <c r="C137" s="247"/>
      <c r="D137" s="247"/>
      <c r="E137" s="255" t="s">
        <v>199</v>
      </c>
      <c r="F137" s="253">
        <f t="shared" si="33"/>
        <v>0</v>
      </c>
      <c r="G137" s="256"/>
      <c r="H137" s="256"/>
      <c r="I137" s="253">
        <f t="shared" si="34"/>
        <v>0</v>
      </c>
      <c r="J137" s="256"/>
      <c r="K137" s="256"/>
      <c r="L137" s="253">
        <f t="shared" si="35"/>
        <v>0</v>
      </c>
      <c r="M137" s="257"/>
      <c r="N137" s="257"/>
      <c r="O137" s="253">
        <f t="shared" si="28"/>
        <v>0</v>
      </c>
      <c r="P137" s="253">
        <f t="shared" si="29"/>
        <v>0</v>
      </c>
      <c r="Q137" s="253">
        <f t="shared" si="30"/>
        <v>0</v>
      </c>
      <c r="R137" s="253">
        <f t="shared" si="36"/>
        <v>0</v>
      </c>
      <c r="S137" s="256"/>
      <c r="T137" s="256"/>
      <c r="U137" s="253">
        <f t="shared" si="37"/>
        <v>0</v>
      </c>
      <c r="V137" s="256"/>
      <c r="W137" s="258"/>
      <c r="X137" s="240"/>
    </row>
    <row r="138" spans="1:24" ht="21">
      <c r="A138" s="250" t="s">
        <v>337</v>
      </c>
      <c r="B138" s="247" t="s">
        <v>327</v>
      </c>
      <c r="C138" s="247" t="s">
        <v>221</v>
      </c>
      <c r="D138" s="247" t="s">
        <v>197</v>
      </c>
      <c r="E138" s="255" t="s">
        <v>338</v>
      </c>
      <c r="F138" s="253">
        <f t="shared" si="33"/>
        <v>166</v>
      </c>
      <c r="G138" s="256">
        <v>166</v>
      </c>
      <c r="H138" s="256"/>
      <c r="I138" s="253">
        <f t="shared" si="34"/>
        <v>0</v>
      </c>
      <c r="J138" s="256"/>
      <c r="K138" s="256"/>
      <c r="L138" s="253">
        <f t="shared" si="35"/>
        <v>0</v>
      </c>
      <c r="M138" s="257"/>
      <c r="N138" s="257"/>
      <c r="O138" s="253">
        <f t="shared" si="28"/>
        <v>0</v>
      </c>
      <c r="P138" s="253">
        <f t="shared" si="29"/>
        <v>0</v>
      </c>
      <c r="Q138" s="253">
        <f t="shared" si="30"/>
        <v>0</v>
      </c>
      <c r="R138" s="253">
        <f t="shared" si="36"/>
        <v>0</v>
      </c>
      <c r="S138" s="256"/>
      <c r="T138" s="256"/>
      <c r="U138" s="253">
        <f t="shared" si="37"/>
        <v>0</v>
      </c>
      <c r="V138" s="256"/>
      <c r="W138" s="258"/>
      <c r="X138" s="240"/>
    </row>
    <row r="139" spans="1:24" ht="21">
      <c r="A139" s="250" t="s">
        <v>339</v>
      </c>
      <c r="B139" s="247" t="s">
        <v>327</v>
      </c>
      <c r="C139" s="247" t="s">
        <v>221</v>
      </c>
      <c r="D139" s="247" t="s">
        <v>221</v>
      </c>
      <c r="E139" s="255" t="s">
        <v>340</v>
      </c>
      <c r="F139" s="253">
        <f t="shared" si="33"/>
        <v>8503.5</v>
      </c>
      <c r="G139" s="256">
        <v>8503.5</v>
      </c>
      <c r="H139" s="256"/>
      <c r="I139" s="253">
        <f t="shared" si="34"/>
        <v>0</v>
      </c>
      <c r="J139" s="256"/>
      <c r="K139" s="256"/>
      <c r="L139" s="253">
        <f t="shared" si="35"/>
        <v>0</v>
      </c>
      <c r="M139" s="257"/>
      <c r="N139" s="257"/>
      <c r="O139" s="253">
        <f aca="true" t="shared" si="51" ref="O139:O168">+L139-I139</f>
        <v>0</v>
      </c>
      <c r="P139" s="253">
        <f aca="true" t="shared" si="52" ref="P139:P168">+M139-J139</f>
        <v>0</v>
      </c>
      <c r="Q139" s="253">
        <f aca="true" t="shared" si="53" ref="Q139:Q168">+N139-K139</f>
        <v>0</v>
      </c>
      <c r="R139" s="253">
        <f t="shared" si="36"/>
        <v>0</v>
      </c>
      <c r="S139" s="256"/>
      <c r="T139" s="256"/>
      <c r="U139" s="253">
        <f t="shared" si="37"/>
        <v>0</v>
      </c>
      <c r="V139" s="256"/>
      <c r="W139" s="258"/>
      <c r="X139" s="240"/>
    </row>
    <row r="140" spans="1:24" ht="42">
      <c r="A140" s="247">
        <v>2930</v>
      </c>
      <c r="B140" s="247">
        <v>9</v>
      </c>
      <c r="C140" s="247">
        <v>3</v>
      </c>
      <c r="D140" s="247">
        <v>0</v>
      </c>
      <c r="E140" s="259" t="s">
        <v>717</v>
      </c>
      <c r="F140" s="253">
        <f t="shared" si="33"/>
        <v>85.2</v>
      </c>
      <c r="G140" s="256">
        <f>+G141</f>
        <v>85.2</v>
      </c>
      <c r="H140" s="256">
        <f>+H141</f>
        <v>0</v>
      </c>
      <c r="I140" s="253"/>
      <c r="J140" s="256"/>
      <c r="K140" s="256"/>
      <c r="L140" s="253"/>
      <c r="M140" s="257"/>
      <c r="N140" s="257"/>
      <c r="O140" s="253">
        <f t="shared" si="51"/>
        <v>0</v>
      </c>
      <c r="P140" s="253">
        <f t="shared" si="52"/>
        <v>0</v>
      </c>
      <c r="Q140" s="253">
        <f t="shared" si="53"/>
        <v>0</v>
      </c>
      <c r="R140" s="253"/>
      <c r="S140" s="256"/>
      <c r="T140" s="256"/>
      <c r="U140" s="253"/>
      <c r="V140" s="256"/>
      <c r="W140" s="258"/>
      <c r="X140" s="240"/>
    </row>
    <row r="141" spans="1:24" ht="10.5">
      <c r="A141" s="247">
        <v>2932</v>
      </c>
      <c r="B141" s="247">
        <v>9</v>
      </c>
      <c r="C141" s="247">
        <v>3</v>
      </c>
      <c r="D141" s="247">
        <v>2</v>
      </c>
      <c r="E141" s="255" t="s">
        <v>718</v>
      </c>
      <c r="F141" s="253">
        <f t="shared" si="33"/>
        <v>85.2</v>
      </c>
      <c r="G141" s="256">
        <v>85.2</v>
      </c>
      <c r="H141" s="256"/>
      <c r="I141" s="253"/>
      <c r="J141" s="256"/>
      <c r="K141" s="256"/>
      <c r="L141" s="253"/>
      <c r="M141" s="257"/>
      <c r="N141" s="257"/>
      <c r="O141" s="253">
        <f t="shared" si="51"/>
        <v>0</v>
      </c>
      <c r="P141" s="253">
        <f t="shared" si="52"/>
        <v>0</v>
      </c>
      <c r="Q141" s="253">
        <f t="shared" si="53"/>
        <v>0</v>
      </c>
      <c r="R141" s="253"/>
      <c r="S141" s="256"/>
      <c r="T141" s="256"/>
      <c r="U141" s="253"/>
      <c r="V141" s="256"/>
      <c r="W141" s="258"/>
      <c r="X141" s="240"/>
    </row>
    <row r="142" spans="1:24" ht="30">
      <c r="A142" s="265" t="s">
        <v>640</v>
      </c>
      <c r="B142" s="265" t="s">
        <v>255</v>
      </c>
      <c r="C142" s="265" t="s">
        <v>237</v>
      </c>
      <c r="D142" s="265" t="s">
        <v>194</v>
      </c>
      <c r="E142" s="265" t="s">
        <v>641</v>
      </c>
      <c r="F142" s="253">
        <f t="shared" si="33"/>
        <v>2290</v>
      </c>
      <c r="G142" s="256">
        <f>+G143</f>
        <v>2290</v>
      </c>
      <c r="H142" s="256">
        <f>+H143</f>
        <v>0</v>
      </c>
      <c r="I142" s="253"/>
      <c r="J142" s="256">
        <f>+J143</f>
        <v>10000</v>
      </c>
      <c r="K142" s="256"/>
      <c r="L142" s="253">
        <f t="shared" si="35"/>
        <v>0</v>
      </c>
      <c r="M142" s="257"/>
      <c r="N142" s="257"/>
      <c r="O142" s="253">
        <f t="shared" si="51"/>
        <v>0</v>
      </c>
      <c r="P142" s="253">
        <f t="shared" si="52"/>
        <v>-10000</v>
      </c>
      <c r="Q142" s="253">
        <f t="shared" si="53"/>
        <v>0</v>
      </c>
      <c r="R142" s="253">
        <f t="shared" si="36"/>
        <v>10000</v>
      </c>
      <c r="S142" s="256">
        <v>10000</v>
      </c>
      <c r="T142" s="256"/>
      <c r="U142" s="253">
        <f t="shared" si="37"/>
        <v>0</v>
      </c>
      <c r="V142" s="256"/>
      <c r="W142" s="258"/>
      <c r="X142" s="240"/>
    </row>
    <row r="143" spans="1:24" ht="30">
      <c r="A143" s="266" t="s">
        <v>642</v>
      </c>
      <c r="B143" s="266" t="s">
        <v>255</v>
      </c>
      <c r="C143" s="266" t="s">
        <v>237</v>
      </c>
      <c r="D143" s="266" t="s">
        <v>197</v>
      </c>
      <c r="E143" s="266" t="s">
        <v>643</v>
      </c>
      <c r="F143" s="253">
        <f t="shared" si="33"/>
        <v>2290</v>
      </c>
      <c r="G143" s="256">
        <v>2290</v>
      </c>
      <c r="H143" s="256"/>
      <c r="I143" s="253"/>
      <c r="J143" s="256">
        <v>10000</v>
      </c>
      <c r="K143" s="256"/>
      <c r="L143" s="253">
        <f t="shared" si="35"/>
        <v>0</v>
      </c>
      <c r="M143" s="257"/>
      <c r="N143" s="257"/>
      <c r="O143" s="253">
        <f t="shared" si="51"/>
        <v>0</v>
      </c>
      <c r="P143" s="253">
        <f t="shared" si="52"/>
        <v>-10000</v>
      </c>
      <c r="Q143" s="253">
        <f t="shared" si="53"/>
        <v>0</v>
      </c>
      <c r="R143" s="253">
        <f t="shared" si="36"/>
        <v>10000</v>
      </c>
      <c r="S143" s="256">
        <v>10000</v>
      </c>
      <c r="T143" s="256"/>
      <c r="U143" s="253">
        <f t="shared" si="37"/>
        <v>0</v>
      </c>
      <c r="V143" s="256"/>
      <c r="W143" s="258"/>
      <c r="X143" s="240"/>
    </row>
    <row r="144" spans="1:24" ht="21">
      <c r="A144" s="250" t="s">
        <v>341</v>
      </c>
      <c r="B144" s="247" t="s">
        <v>327</v>
      </c>
      <c r="C144" s="247" t="s">
        <v>210</v>
      </c>
      <c r="D144" s="247" t="s">
        <v>194</v>
      </c>
      <c r="E144" s="259" t="s">
        <v>342</v>
      </c>
      <c r="F144" s="253">
        <f t="shared" si="33"/>
        <v>287715.8</v>
      </c>
      <c r="G144" s="260">
        <f>+G146</f>
        <v>287715.8</v>
      </c>
      <c r="H144" s="260">
        <f>+H146</f>
        <v>0</v>
      </c>
      <c r="I144" s="253">
        <f t="shared" si="34"/>
        <v>289000</v>
      </c>
      <c r="J144" s="260">
        <f aca="true" t="shared" si="54" ref="J144:W144">+J146</f>
        <v>284000</v>
      </c>
      <c r="K144" s="260">
        <f t="shared" si="54"/>
        <v>5000</v>
      </c>
      <c r="L144" s="253">
        <f t="shared" si="35"/>
        <v>379000</v>
      </c>
      <c r="M144" s="261">
        <f t="shared" si="54"/>
        <v>379000</v>
      </c>
      <c r="N144" s="261">
        <f t="shared" si="54"/>
        <v>0</v>
      </c>
      <c r="O144" s="253">
        <f t="shared" si="51"/>
        <v>90000</v>
      </c>
      <c r="P144" s="253">
        <f t="shared" si="52"/>
        <v>95000</v>
      </c>
      <c r="Q144" s="253">
        <f t="shared" si="53"/>
        <v>-5000</v>
      </c>
      <c r="R144" s="253">
        <f t="shared" si="36"/>
        <v>385000</v>
      </c>
      <c r="S144" s="260">
        <f t="shared" si="54"/>
        <v>385000</v>
      </c>
      <c r="T144" s="260">
        <f t="shared" si="54"/>
        <v>0</v>
      </c>
      <c r="U144" s="253">
        <f t="shared" si="37"/>
        <v>500000</v>
      </c>
      <c r="V144" s="260">
        <f t="shared" si="54"/>
        <v>400000</v>
      </c>
      <c r="W144" s="260">
        <f t="shared" si="54"/>
        <v>100000</v>
      </c>
      <c r="X144" s="240"/>
    </row>
    <row r="145" spans="1:24" ht="10.5">
      <c r="A145" s="250"/>
      <c r="B145" s="247"/>
      <c r="C145" s="247"/>
      <c r="D145" s="247"/>
      <c r="E145" s="255" t="s">
        <v>199</v>
      </c>
      <c r="F145" s="253">
        <f t="shared" si="33"/>
        <v>0</v>
      </c>
      <c r="G145" s="256"/>
      <c r="H145" s="256"/>
      <c r="I145" s="253">
        <f t="shared" si="34"/>
        <v>0</v>
      </c>
      <c r="J145" s="256"/>
      <c r="K145" s="256"/>
      <c r="L145" s="253">
        <f t="shared" si="35"/>
        <v>0</v>
      </c>
      <c r="M145" s="257"/>
      <c r="N145" s="257"/>
      <c r="O145" s="253">
        <f t="shared" si="51"/>
        <v>0</v>
      </c>
      <c r="P145" s="253">
        <f t="shared" si="52"/>
        <v>0</v>
      </c>
      <c r="Q145" s="253">
        <f t="shared" si="53"/>
        <v>0</v>
      </c>
      <c r="R145" s="253">
        <f t="shared" si="36"/>
        <v>0</v>
      </c>
      <c r="S145" s="256"/>
      <c r="T145" s="256"/>
      <c r="U145" s="253">
        <f t="shared" si="37"/>
        <v>0</v>
      </c>
      <c r="V145" s="256"/>
      <c r="W145" s="258"/>
      <c r="X145" s="240"/>
    </row>
    <row r="146" spans="1:24" ht="21">
      <c r="A146" s="250" t="s">
        <v>343</v>
      </c>
      <c r="B146" s="247" t="s">
        <v>327</v>
      </c>
      <c r="C146" s="247" t="s">
        <v>210</v>
      </c>
      <c r="D146" s="247" t="s">
        <v>197</v>
      </c>
      <c r="E146" s="255" t="s">
        <v>344</v>
      </c>
      <c r="F146" s="253">
        <f t="shared" si="33"/>
        <v>287715.8</v>
      </c>
      <c r="G146" s="256">
        <v>287715.8</v>
      </c>
      <c r="H146" s="256"/>
      <c r="I146" s="253">
        <f t="shared" si="34"/>
        <v>289000</v>
      </c>
      <c r="J146" s="256">
        <v>284000</v>
      </c>
      <c r="K146" s="256">
        <v>5000</v>
      </c>
      <c r="L146" s="253">
        <f t="shared" si="35"/>
        <v>379000</v>
      </c>
      <c r="M146" s="257">
        <v>379000</v>
      </c>
      <c r="N146" s="257"/>
      <c r="O146" s="253">
        <f t="shared" si="51"/>
        <v>90000</v>
      </c>
      <c r="P146" s="253">
        <f t="shared" si="52"/>
        <v>95000</v>
      </c>
      <c r="Q146" s="253">
        <f t="shared" si="53"/>
        <v>-5000</v>
      </c>
      <c r="R146" s="253">
        <f t="shared" si="36"/>
        <v>385000</v>
      </c>
      <c r="S146" s="256">
        <v>385000</v>
      </c>
      <c r="T146" s="256"/>
      <c r="U146" s="253">
        <f t="shared" si="37"/>
        <v>500000</v>
      </c>
      <c r="V146" s="256">
        <v>400000</v>
      </c>
      <c r="W146" s="258">
        <v>100000</v>
      </c>
      <c r="X146" s="240"/>
    </row>
    <row r="147" spans="1:24" ht="21">
      <c r="A147" s="250" t="s">
        <v>345</v>
      </c>
      <c r="B147" s="247" t="s">
        <v>327</v>
      </c>
      <c r="C147" s="247" t="s">
        <v>214</v>
      </c>
      <c r="D147" s="247" t="s">
        <v>194</v>
      </c>
      <c r="E147" s="259" t="s">
        <v>346</v>
      </c>
      <c r="F147" s="253">
        <f t="shared" si="33"/>
        <v>0</v>
      </c>
      <c r="G147" s="260">
        <f>+G149</f>
        <v>0</v>
      </c>
      <c r="H147" s="260">
        <f>+H149</f>
        <v>0</v>
      </c>
      <c r="I147" s="253">
        <f t="shared" si="34"/>
        <v>0</v>
      </c>
      <c r="J147" s="260">
        <f aca="true" t="shared" si="55" ref="J147:W147">+J149</f>
        <v>0</v>
      </c>
      <c r="K147" s="260">
        <f t="shared" si="55"/>
        <v>0</v>
      </c>
      <c r="L147" s="253">
        <f t="shared" si="35"/>
        <v>0</v>
      </c>
      <c r="M147" s="261">
        <f t="shared" si="55"/>
        <v>0</v>
      </c>
      <c r="N147" s="261">
        <f t="shared" si="55"/>
        <v>0</v>
      </c>
      <c r="O147" s="253">
        <f t="shared" si="51"/>
        <v>0</v>
      </c>
      <c r="P147" s="253">
        <f t="shared" si="52"/>
        <v>0</v>
      </c>
      <c r="Q147" s="253">
        <f t="shared" si="53"/>
        <v>0</v>
      </c>
      <c r="R147" s="253">
        <f t="shared" si="36"/>
        <v>0</v>
      </c>
      <c r="S147" s="260">
        <f t="shared" si="55"/>
        <v>0</v>
      </c>
      <c r="T147" s="260">
        <f t="shared" si="55"/>
        <v>0</v>
      </c>
      <c r="U147" s="253">
        <f t="shared" si="37"/>
        <v>0</v>
      </c>
      <c r="V147" s="260">
        <f t="shared" si="55"/>
        <v>0</v>
      </c>
      <c r="W147" s="260">
        <f t="shared" si="55"/>
        <v>0</v>
      </c>
      <c r="X147" s="240"/>
    </row>
    <row r="148" spans="1:24" ht="10.5">
      <c r="A148" s="250"/>
      <c r="B148" s="247"/>
      <c r="C148" s="247"/>
      <c r="D148" s="247"/>
      <c r="E148" s="255" t="s">
        <v>199</v>
      </c>
      <c r="F148" s="253">
        <f t="shared" si="33"/>
        <v>0</v>
      </c>
      <c r="G148" s="256"/>
      <c r="H148" s="256"/>
      <c r="I148" s="253">
        <f t="shared" si="34"/>
        <v>0</v>
      </c>
      <c r="J148" s="256"/>
      <c r="K148" s="256"/>
      <c r="L148" s="253">
        <f t="shared" si="35"/>
        <v>0</v>
      </c>
      <c r="M148" s="257"/>
      <c r="N148" s="257"/>
      <c r="O148" s="253">
        <f t="shared" si="51"/>
        <v>0</v>
      </c>
      <c r="P148" s="253">
        <f t="shared" si="52"/>
        <v>0</v>
      </c>
      <c r="Q148" s="253">
        <f t="shared" si="53"/>
        <v>0</v>
      </c>
      <c r="R148" s="253">
        <f t="shared" si="36"/>
        <v>0</v>
      </c>
      <c r="S148" s="256"/>
      <c r="T148" s="256"/>
      <c r="U148" s="253">
        <f t="shared" si="37"/>
        <v>0</v>
      </c>
      <c r="V148" s="256"/>
      <c r="W148" s="258"/>
      <c r="X148" s="240"/>
    </row>
    <row r="149" spans="1:24" ht="21">
      <c r="A149" s="250" t="s">
        <v>347</v>
      </c>
      <c r="B149" s="247" t="s">
        <v>327</v>
      </c>
      <c r="C149" s="247" t="s">
        <v>214</v>
      </c>
      <c r="D149" s="247" t="s">
        <v>197</v>
      </c>
      <c r="E149" s="255" t="s">
        <v>346</v>
      </c>
      <c r="F149" s="253">
        <f t="shared" si="33"/>
        <v>0</v>
      </c>
      <c r="G149" s="256"/>
      <c r="H149" s="256"/>
      <c r="I149" s="253">
        <f t="shared" si="34"/>
        <v>0</v>
      </c>
      <c r="J149" s="256"/>
      <c r="K149" s="256"/>
      <c r="L149" s="253">
        <f t="shared" si="35"/>
        <v>0</v>
      </c>
      <c r="M149" s="257"/>
      <c r="N149" s="257"/>
      <c r="O149" s="253">
        <f t="shared" si="51"/>
        <v>0</v>
      </c>
      <c r="P149" s="253">
        <f t="shared" si="52"/>
        <v>0</v>
      </c>
      <c r="Q149" s="253">
        <f t="shared" si="53"/>
        <v>0</v>
      </c>
      <c r="R149" s="253">
        <f t="shared" si="36"/>
        <v>0</v>
      </c>
      <c r="S149" s="256"/>
      <c r="T149" s="256"/>
      <c r="U149" s="253">
        <f t="shared" si="37"/>
        <v>0</v>
      </c>
      <c r="V149" s="256"/>
      <c r="W149" s="258"/>
      <c r="X149" s="240"/>
    </row>
    <row r="150" spans="1:24" ht="21">
      <c r="A150" s="250" t="s">
        <v>348</v>
      </c>
      <c r="B150" s="247" t="s">
        <v>349</v>
      </c>
      <c r="C150" s="247" t="s">
        <v>194</v>
      </c>
      <c r="D150" s="247" t="s">
        <v>194</v>
      </c>
      <c r="E150" s="259" t="s">
        <v>350</v>
      </c>
      <c r="F150" s="253">
        <f t="shared" si="33"/>
        <v>24538.7</v>
      </c>
      <c r="G150" s="260">
        <f>+G152+G155+G158+G161</f>
        <v>24538.7</v>
      </c>
      <c r="H150" s="260">
        <f>+H152+H155+H158+H161</f>
        <v>0</v>
      </c>
      <c r="I150" s="253">
        <f t="shared" si="34"/>
        <v>9000</v>
      </c>
      <c r="J150" s="260">
        <f aca="true" t="shared" si="56" ref="J150:W150">+J152+J155+J158+J161</f>
        <v>9000</v>
      </c>
      <c r="K150" s="260">
        <f t="shared" si="56"/>
        <v>0</v>
      </c>
      <c r="L150" s="253">
        <f t="shared" si="35"/>
        <v>7000</v>
      </c>
      <c r="M150" s="261">
        <f t="shared" si="56"/>
        <v>7000</v>
      </c>
      <c r="N150" s="261">
        <f t="shared" si="56"/>
        <v>0</v>
      </c>
      <c r="O150" s="253">
        <f t="shared" si="51"/>
        <v>-2000</v>
      </c>
      <c r="P150" s="253">
        <f t="shared" si="52"/>
        <v>-2000</v>
      </c>
      <c r="Q150" s="253">
        <f t="shared" si="53"/>
        <v>0</v>
      </c>
      <c r="R150" s="253">
        <f t="shared" si="36"/>
        <v>0</v>
      </c>
      <c r="S150" s="260">
        <f t="shared" si="56"/>
        <v>0</v>
      </c>
      <c r="T150" s="260">
        <f t="shared" si="56"/>
        <v>0</v>
      </c>
      <c r="U150" s="253">
        <f t="shared" si="37"/>
        <v>0</v>
      </c>
      <c r="V150" s="260">
        <f t="shared" si="56"/>
        <v>0</v>
      </c>
      <c r="W150" s="260">
        <f t="shared" si="56"/>
        <v>0</v>
      </c>
      <c r="X150" s="240"/>
    </row>
    <row r="151" spans="1:24" ht="10.5">
      <c r="A151" s="250"/>
      <c r="B151" s="247"/>
      <c r="C151" s="247"/>
      <c r="D151" s="247"/>
      <c r="E151" s="255" t="s">
        <v>5</v>
      </c>
      <c r="F151" s="253">
        <f t="shared" si="33"/>
        <v>0</v>
      </c>
      <c r="G151" s="256"/>
      <c r="H151" s="256"/>
      <c r="I151" s="253">
        <f t="shared" si="34"/>
        <v>0</v>
      </c>
      <c r="J151" s="256"/>
      <c r="K151" s="256"/>
      <c r="L151" s="253">
        <f t="shared" si="35"/>
        <v>0</v>
      </c>
      <c r="M151" s="257"/>
      <c r="N151" s="257"/>
      <c r="O151" s="253">
        <f t="shared" si="51"/>
        <v>0</v>
      </c>
      <c r="P151" s="253">
        <f t="shared" si="52"/>
        <v>0</v>
      </c>
      <c r="Q151" s="253">
        <f t="shared" si="53"/>
        <v>0</v>
      </c>
      <c r="R151" s="253">
        <f t="shared" si="36"/>
        <v>0</v>
      </c>
      <c r="S151" s="256"/>
      <c r="T151" s="256"/>
      <c r="U151" s="253">
        <f t="shared" si="37"/>
        <v>0</v>
      </c>
      <c r="V151" s="256"/>
      <c r="W151" s="258"/>
      <c r="X151" s="240"/>
    </row>
    <row r="152" spans="1:24" ht="21">
      <c r="A152" s="250" t="s">
        <v>351</v>
      </c>
      <c r="B152" s="247" t="s">
        <v>349</v>
      </c>
      <c r="C152" s="247" t="s">
        <v>203</v>
      </c>
      <c r="D152" s="247" t="s">
        <v>194</v>
      </c>
      <c r="E152" s="259" t="s">
        <v>352</v>
      </c>
      <c r="F152" s="253">
        <f t="shared" si="33"/>
        <v>240</v>
      </c>
      <c r="G152" s="260">
        <f>+G154</f>
        <v>240</v>
      </c>
      <c r="H152" s="260">
        <f>+H154</f>
        <v>0</v>
      </c>
      <c r="I152" s="253">
        <f t="shared" si="34"/>
        <v>0</v>
      </c>
      <c r="J152" s="260">
        <f aca="true" t="shared" si="57" ref="J152:W152">+J154</f>
        <v>0</v>
      </c>
      <c r="K152" s="260">
        <f t="shared" si="57"/>
        <v>0</v>
      </c>
      <c r="L152" s="253">
        <f t="shared" si="35"/>
        <v>0</v>
      </c>
      <c r="M152" s="261">
        <f t="shared" si="57"/>
        <v>0</v>
      </c>
      <c r="N152" s="261">
        <f t="shared" si="57"/>
        <v>0</v>
      </c>
      <c r="O152" s="253">
        <f t="shared" si="51"/>
        <v>0</v>
      </c>
      <c r="P152" s="253">
        <f t="shared" si="52"/>
        <v>0</v>
      </c>
      <c r="Q152" s="253">
        <f t="shared" si="53"/>
        <v>0</v>
      </c>
      <c r="R152" s="253">
        <f t="shared" si="36"/>
        <v>0</v>
      </c>
      <c r="S152" s="260">
        <f t="shared" si="57"/>
        <v>0</v>
      </c>
      <c r="T152" s="260">
        <f t="shared" si="57"/>
        <v>0</v>
      </c>
      <c r="U152" s="253">
        <f t="shared" si="37"/>
        <v>0</v>
      </c>
      <c r="V152" s="260">
        <f t="shared" si="57"/>
        <v>0</v>
      </c>
      <c r="W152" s="260">
        <f t="shared" si="57"/>
        <v>0</v>
      </c>
      <c r="X152" s="240"/>
    </row>
    <row r="153" spans="1:24" ht="10.5">
      <c r="A153" s="250"/>
      <c r="B153" s="247"/>
      <c r="C153" s="247"/>
      <c r="D153" s="247"/>
      <c r="E153" s="255" t="s">
        <v>199</v>
      </c>
      <c r="F153" s="253">
        <f t="shared" si="33"/>
        <v>0</v>
      </c>
      <c r="G153" s="256"/>
      <c r="H153" s="256"/>
      <c r="I153" s="253">
        <f t="shared" si="34"/>
        <v>0</v>
      </c>
      <c r="J153" s="256"/>
      <c r="K153" s="256"/>
      <c r="L153" s="253">
        <f t="shared" si="35"/>
        <v>0</v>
      </c>
      <c r="M153" s="257"/>
      <c r="N153" s="257"/>
      <c r="O153" s="253">
        <f t="shared" si="51"/>
        <v>0</v>
      </c>
      <c r="P153" s="253">
        <f t="shared" si="52"/>
        <v>0</v>
      </c>
      <c r="Q153" s="253">
        <f t="shared" si="53"/>
        <v>0</v>
      </c>
      <c r="R153" s="253">
        <f t="shared" si="36"/>
        <v>0</v>
      </c>
      <c r="S153" s="256"/>
      <c r="T153" s="256"/>
      <c r="U153" s="253">
        <f t="shared" si="37"/>
        <v>0</v>
      </c>
      <c r="V153" s="256"/>
      <c r="W153" s="258"/>
      <c r="X153" s="240"/>
    </row>
    <row r="154" spans="1:24" ht="21">
      <c r="A154" s="250" t="s">
        <v>353</v>
      </c>
      <c r="B154" s="247" t="s">
        <v>349</v>
      </c>
      <c r="C154" s="247" t="s">
        <v>203</v>
      </c>
      <c r="D154" s="247" t="s">
        <v>197</v>
      </c>
      <c r="E154" s="255" t="s">
        <v>352</v>
      </c>
      <c r="F154" s="253">
        <f t="shared" si="33"/>
        <v>240</v>
      </c>
      <c r="G154" s="256">
        <v>240</v>
      </c>
      <c r="H154" s="256"/>
      <c r="I154" s="253">
        <f t="shared" si="34"/>
        <v>0</v>
      </c>
      <c r="J154" s="256"/>
      <c r="K154" s="256"/>
      <c r="L154" s="253">
        <f t="shared" si="35"/>
        <v>0</v>
      </c>
      <c r="M154" s="257"/>
      <c r="N154" s="257"/>
      <c r="O154" s="253">
        <f t="shared" si="51"/>
        <v>0</v>
      </c>
      <c r="P154" s="253">
        <f t="shared" si="52"/>
        <v>0</v>
      </c>
      <c r="Q154" s="253">
        <f t="shared" si="53"/>
        <v>0</v>
      </c>
      <c r="R154" s="253">
        <f t="shared" si="36"/>
        <v>0</v>
      </c>
      <c r="S154" s="256"/>
      <c r="T154" s="256"/>
      <c r="U154" s="253">
        <f t="shared" si="37"/>
        <v>0</v>
      </c>
      <c r="V154" s="256"/>
      <c r="W154" s="258"/>
      <c r="X154" s="240"/>
    </row>
    <row r="155" spans="1:24" ht="21">
      <c r="A155" s="250" t="s">
        <v>354</v>
      </c>
      <c r="B155" s="247" t="s">
        <v>349</v>
      </c>
      <c r="C155" s="247" t="s">
        <v>237</v>
      </c>
      <c r="D155" s="247" t="s">
        <v>194</v>
      </c>
      <c r="E155" s="259" t="s">
        <v>355</v>
      </c>
      <c r="F155" s="253">
        <f aca="true" t="shared" si="58" ref="F155:F167">+G155+H155</f>
        <v>0</v>
      </c>
      <c r="G155" s="260">
        <f>+G157</f>
        <v>0</v>
      </c>
      <c r="H155" s="260">
        <f>+H157</f>
        <v>0</v>
      </c>
      <c r="I155" s="253">
        <f t="shared" si="34"/>
        <v>0</v>
      </c>
      <c r="J155" s="260">
        <f aca="true" t="shared" si="59" ref="J155:W155">+J157</f>
        <v>0</v>
      </c>
      <c r="K155" s="260">
        <f t="shared" si="59"/>
        <v>0</v>
      </c>
      <c r="L155" s="253">
        <f aca="true" t="shared" si="60" ref="L155:L168">+M155+N155</f>
        <v>0</v>
      </c>
      <c r="M155" s="261">
        <f t="shared" si="59"/>
        <v>0</v>
      </c>
      <c r="N155" s="261">
        <f t="shared" si="59"/>
        <v>0</v>
      </c>
      <c r="O155" s="253">
        <f t="shared" si="51"/>
        <v>0</v>
      </c>
      <c r="P155" s="253">
        <f t="shared" si="52"/>
        <v>0</v>
      </c>
      <c r="Q155" s="253">
        <f t="shared" si="53"/>
        <v>0</v>
      </c>
      <c r="R155" s="253">
        <f aca="true" t="shared" si="61" ref="R155:R168">+S155+T155</f>
        <v>0</v>
      </c>
      <c r="S155" s="260">
        <f t="shared" si="59"/>
        <v>0</v>
      </c>
      <c r="T155" s="260">
        <f t="shared" si="59"/>
        <v>0</v>
      </c>
      <c r="U155" s="253">
        <f aca="true" t="shared" si="62" ref="U155:U168">+V155+W155</f>
        <v>0</v>
      </c>
      <c r="V155" s="260">
        <f t="shared" si="59"/>
        <v>0</v>
      </c>
      <c r="W155" s="260">
        <f t="shared" si="59"/>
        <v>0</v>
      </c>
      <c r="X155" s="240"/>
    </row>
    <row r="156" spans="1:24" ht="10.5">
      <c r="A156" s="250"/>
      <c r="B156" s="247"/>
      <c r="C156" s="247"/>
      <c r="D156" s="247"/>
      <c r="E156" s="255" t="s">
        <v>199</v>
      </c>
      <c r="F156" s="253">
        <f t="shared" si="58"/>
        <v>0</v>
      </c>
      <c r="G156" s="256"/>
      <c r="H156" s="256"/>
      <c r="I156" s="253">
        <f t="shared" si="34"/>
        <v>0</v>
      </c>
      <c r="J156" s="256"/>
      <c r="K156" s="256"/>
      <c r="L156" s="253">
        <f t="shared" si="60"/>
        <v>0</v>
      </c>
      <c r="M156" s="257"/>
      <c r="N156" s="257"/>
      <c r="O156" s="253">
        <f t="shared" si="51"/>
        <v>0</v>
      </c>
      <c r="P156" s="253">
        <f t="shared" si="52"/>
        <v>0</v>
      </c>
      <c r="Q156" s="253">
        <f t="shared" si="53"/>
        <v>0</v>
      </c>
      <c r="R156" s="253">
        <f t="shared" si="61"/>
        <v>0</v>
      </c>
      <c r="S156" s="256"/>
      <c r="T156" s="256"/>
      <c r="U156" s="253">
        <f t="shared" si="62"/>
        <v>0</v>
      </c>
      <c r="V156" s="256"/>
      <c r="W156" s="258"/>
      <c r="X156" s="240"/>
    </row>
    <row r="157" spans="1:24" ht="21">
      <c r="A157" s="250" t="s">
        <v>356</v>
      </c>
      <c r="B157" s="247" t="s">
        <v>349</v>
      </c>
      <c r="C157" s="247" t="s">
        <v>237</v>
      </c>
      <c r="D157" s="247" t="s">
        <v>197</v>
      </c>
      <c r="E157" s="255" t="s">
        <v>355</v>
      </c>
      <c r="F157" s="253">
        <f t="shared" si="58"/>
        <v>0</v>
      </c>
      <c r="G157" s="256"/>
      <c r="H157" s="256"/>
      <c r="I157" s="253">
        <f t="shared" si="34"/>
        <v>0</v>
      </c>
      <c r="J157" s="256"/>
      <c r="K157" s="256"/>
      <c r="L157" s="253">
        <f t="shared" si="60"/>
        <v>0</v>
      </c>
      <c r="M157" s="257"/>
      <c r="N157" s="257"/>
      <c r="O157" s="253">
        <f t="shared" si="51"/>
        <v>0</v>
      </c>
      <c r="P157" s="253">
        <f t="shared" si="52"/>
        <v>0</v>
      </c>
      <c r="Q157" s="253">
        <f t="shared" si="53"/>
        <v>0</v>
      </c>
      <c r="R157" s="253">
        <f t="shared" si="61"/>
        <v>0</v>
      </c>
      <c r="S157" s="256"/>
      <c r="T157" s="256"/>
      <c r="U157" s="253">
        <f t="shared" si="62"/>
        <v>0</v>
      </c>
      <c r="V157" s="256"/>
      <c r="W157" s="258"/>
      <c r="X157" s="240"/>
    </row>
    <row r="158" spans="1:24" ht="31.5">
      <c r="A158" s="250" t="s">
        <v>357</v>
      </c>
      <c r="B158" s="247" t="s">
        <v>349</v>
      </c>
      <c r="C158" s="247" t="s">
        <v>250</v>
      </c>
      <c r="D158" s="247" t="s">
        <v>194</v>
      </c>
      <c r="E158" s="259" t="s">
        <v>358</v>
      </c>
      <c r="F158" s="253">
        <f t="shared" si="58"/>
        <v>24298.7</v>
      </c>
      <c r="G158" s="260">
        <f>+G160</f>
        <v>24298.7</v>
      </c>
      <c r="H158" s="260">
        <f>+H160</f>
        <v>0</v>
      </c>
      <c r="I158" s="253">
        <f aca="true" t="shared" si="63" ref="I158:I168">+J158+K158</f>
        <v>9000</v>
      </c>
      <c r="J158" s="260">
        <f aca="true" t="shared" si="64" ref="J158:W158">+J160</f>
        <v>9000</v>
      </c>
      <c r="K158" s="260">
        <f t="shared" si="64"/>
        <v>0</v>
      </c>
      <c r="L158" s="253">
        <f t="shared" si="60"/>
        <v>7000</v>
      </c>
      <c r="M158" s="261">
        <f t="shared" si="64"/>
        <v>7000</v>
      </c>
      <c r="N158" s="261">
        <f t="shared" si="64"/>
        <v>0</v>
      </c>
      <c r="O158" s="253">
        <f t="shared" si="51"/>
        <v>-2000</v>
      </c>
      <c r="P158" s="253">
        <f t="shared" si="52"/>
        <v>-2000</v>
      </c>
      <c r="Q158" s="253">
        <f t="shared" si="53"/>
        <v>0</v>
      </c>
      <c r="R158" s="253">
        <f t="shared" si="61"/>
        <v>0</v>
      </c>
      <c r="S158" s="260">
        <f t="shared" si="64"/>
        <v>0</v>
      </c>
      <c r="T158" s="260">
        <f t="shared" si="64"/>
        <v>0</v>
      </c>
      <c r="U158" s="253">
        <f t="shared" si="62"/>
        <v>0</v>
      </c>
      <c r="V158" s="260">
        <f t="shared" si="64"/>
        <v>0</v>
      </c>
      <c r="W158" s="260">
        <f t="shared" si="64"/>
        <v>0</v>
      </c>
      <c r="X158" s="240"/>
    </row>
    <row r="159" spans="1:24" ht="10.5">
      <c r="A159" s="250"/>
      <c r="B159" s="247"/>
      <c r="C159" s="247"/>
      <c r="D159" s="247"/>
      <c r="E159" s="255" t="s">
        <v>199</v>
      </c>
      <c r="F159" s="253">
        <f t="shared" si="58"/>
        <v>0</v>
      </c>
      <c r="G159" s="256"/>
      <c r="H159" s="256"/>
      <c r="I159" s="253">
        <f t="shared" si="63"/>
        <v>0</v>
      </c>
      <c r="J159" s="256"/>
      <c r="K159" s="256"/>
      <c r="L159" s="253">
        <f t="shared" si="60"/>
        <v>0</v>
      </c>
      <c r="M159" s="257"/>
      <c r="N159" s="257"/>
      <c r="O159" s="253">
        <f t="shared" si="51"/>
        <v>0</v>
      </c>
      <c r="P159" s="253">
        <f t="shared" si="52"/>
        <v>0</v>
      </c>
      <c r="Q159" s="253">
        <f t="shared" si="53"/>
        <v>0</v>
      </c>
      <c r="R159" s="253">
        <f t="shared" si="61"/>
        <v>0</v>
      </c>
      <c r="S159" s="256"/>
      <c r="T159" s="256"/>
      <c r="U159" s="253">
        <f t="shared" si="62"/>
        <v>0</v>
      </c>
      <c r="V159" s="256"/>
      <c r="W159" s="258"/>
      <c r="X159" s="240"/>
    </row>
    <row r="160" spans="1:24" ht="31.5">
      <c r="A160" s="250" t="s">
        <v>359</v>
      </c>
      <c r="B160" s="247" t="s">
        <v>349</v>
      </c>
      <c r="C160" s="247" t="s">
        <v>250</v>
      </c>
      <c r="D160" s="247" t="s">
        <v>197</v>
      </c>
      <c r="E160" s="255" t="s">
        <v>358</v>
      </c>
      <c r="F160" s="253">
        <f t="shared" si="58"/>
        <v>24298.7</v>
      </c>
      <c r="G160" s="256">
        <v>24298.7</v>
      </c>
      <c r="H160" s="256"/>
      <c r="I160" s="253">
        <f t="shared" si="63"/>
        <v>9000</v>
      </c>
      <c r="J160" s="256">
        <v>9000</v>
      </c>
      <c r="K160" s="256"/>
      <c r="L160" s="253">
        <f t="shared" si="60"/>
        <v>7000</v>
      </c>
      <c r="M160" s="257">
        <v>7000</v>
      </c>
      <c r="N160" s="257"/>
      <c r="O160" s="253">
        <f t="shared" si="51"/>
        <v>-2000</v>
      </c>
      <c r="P160" s="253">
        <f t="shared" si="52"/>
        <v>-2000</v>
      </c>
      <c r="Q160" s="253">
        <f t="shared" si="53"/>
        <v>0</v>
      </c>
      <c r="R160" s="253">
        <f t="shared" si="61"/>
        <v>0</v>
      </c>
      <c r="S160" s="256"/>
      <c r="T160" s="256"/>
      <c r="U160" s="253">
        <f t="shared" si="62"/>
        <v>0</v>
      </c>
      <c r="V160" s="256"/>
      <c r="W160" s="258"/>
      <c r="X160" s="240"/>
    </row>
    <row r="161" spans="1:24" ht="31.5">
      <c r="A161" s="250" t="s">
        <v>360</v>
      </c>
      <c r="B161" s="247" t="s">
        <v>349</v>
      </c>
      <c r="C161" s="247" t="s">
        <v>255</v>
      </c>
      <c r="D161" s="247" t="s">
        <v>194</v>
      </c>
      <c r="E161" s="259" t="s">
        <v>361</v>
      </c>
      <c r="F161" s="253">
        <f t="shared" si="58"/>
        <v>0</v>
      </c>
      <c r="G161" s="260">
        <f>+G163</f>
        <v>0</v>
      </c>
      <c r="H161" s="260">
        <f>+H163</f>
        <v>0</v>
      </c>
      <c r="I161" s="253">
        <f t="shared" si="63"/>
        <v>0</v>
      </c>
      <c r="J161" s="260">
        <f aca="true" t="shared" si="65" ref="J161:W161">+J163</f>
        <v>0</v>
      </c>
      <c r="K161" s="260">
        <f t="shared" si="65"/>
        <v>0</v>
      </c>
      <c r="L161" s="253">
        <f t="shared" si="60"/>
        <v>0</v>
      </c>
      <c r="M161" s="261">
        <f t="shared" si="65"/>
        <v>0</v>
      </c>
      <c r="N161" s="261">
        <f t="shared" si="65"/>
        <v>0</v>
      </c>
      <c r="O161" s="253">
        <f t="shared" si="51"/>
        <v>0</v>
      </c>
      <c r="P161" s="253">
        <f t="shared" si="52"/>
        <v>0</v>
      </c>
      <c r="Q161" s="253">
        <f t="shared" si="53"/>
        <v>0</v>
      </c>
      <c r="R161" s="253">
        <f t="shared" si="61"/>
        <v>0</v>
      </c>
      <c r="S161" s="260">
        <f t="shared" si="65"/>
        <v>0</v>
      </c>
      <c r="T161" s="260">
        <f t="shared" si="65"/>
        <v>0</v>
      </c>
      <c r="U161" s="253">
        <f t="shared" si="62"/>
        <v>0</v>
      </c>
      <c r="V161" s="260">
        <f t="shared" si="65"/>
        <v>0</v>
      </c>
      <c r="W161" s="260">
        <f t="shared" si="65"/>
        <v>0</v>
      </c>
      <c r="X161" s="240"/>
    </row>
    <row r="162" spans="1:24" ht="10.5">
      <c r="A162" s="250"/>
      <c r="B162" s="247"/>
      <c r="C162" s="247"/>
      <c r="D162" s="247"/>
      <c r="E162" s="255" t="s">
        <v>199</v>
      </c>
      <c r="F162" s="253">
        <f t="shared" si="58"/>
        <v>0</v>
      </c>
      <c r="G162" s="256"/>
      <c r="H162" s="256"/>
      <c r="I162" s="253">
        <f t="shared" si="63"/>
        <v>0</v>
      </c>
      <c r="J162" s="256"/>
      <c r="K162" s="256"/>
      <c r="L162" s="253">
        <f t="shared" si="60"/>
        <v>0</v>
      </c>
      <c r="M162" s="257"/>
      <c r="N162" s="257"/>
      <c r="O162" s="253">
        <f t="shared" si="51"/>
        <v>0</v>
      </c>
      <c r="P162" s="253">
        <f t="shared" si="52"/>
        <v>0</v>
      </c>
      <c r="Q162" s="253">
        <f t="shared" si="53"/>
        <v>0</v>
      </c>
      <c r="R162" s="253">
        <f t="shared" si="61"/>
        <v>0</v>
      </c>
      <c r="S162" s="256"/>
      <c r="T162" s="256"/>
      <c r="U162" s="253">
        <f t="shared" si="62"/>
        <v>0</v>
      </c>
      <c r="V162" s="256"/>
      <c r="W162" s="258"/>
      <c r="X162" s="240"/>
    </row>
    <row r="163" spans="1:24" ht="42">
      <c r="A163" s="250" t="s">
        <v>362</v>
      </c>
      <c r="B163" s="247" t="s">
        <v>349</v>
      </c>
      <c r="C163" s="247" t="s">
        <v>255</v>
      </c>
      <c r="D163" s="247" t="s">
        <v>221</v>
      </c>
      <c r="E163" s="255" t="s">
        <v>363</v>
      </c>
      <c r="F163" s="253">
        <f t="shared" si="58"/>
        <v>0</v>
      </c>
      <c r="G163" s="256"/>
      <c r="H163" s="256"/>
      <c r="I163" s="253">
        <f t="shared" si="63"/>
        <v>0</v>
      </c>
      <c r="J163" s="256"/>
      <c r="K163" s="256"/>
      <c r="L163" s="253">
        <f t="shared" si="60"/>
        <v>0</v>
      </c>
      <c r="M163" s="257"/>
      <c r="N163" s="257"/>
      <c r="O163" s="253">
        <f t="shared" si="51"/>
        <v>0</v>
      </c>
      <c r="P163" s="253">
        <f t="shared" si="52"/>
        <v>0</v>
      </c>
      <c r="Q163" s="253">
        <f t="shared" si="53"/>
        <v>0</v>
      </c>
      <c r="R163" s="253">
        <f t="shared" si="61"/>
        <v>0</v>
      </c>
      <c r="S163" s="256"/>
      <c r="T163" s="256"/>
      <c r="U163" s="253">
        <f t="shared" si="62"/>
        <v>0</v>
      </c>
      <c r="V163" s="256"/>
      <c r="W163" s="258"/>
      <c r="X163" s="240"/>
    </row>
    <row r="164" spans="1:24" ht="31.5">
      <c r="A164" s="250" t="s">
        <v>364</v>
      </c>
      <c r="B164" s="247" t="s">
        <v>365</v>
      </c>
      <c r="C164" s="247" t="s">
        <v>194</v>
      </c>
      <c r="D164" s="247" t="s">
        <v>194</v>
      </c>
      <c r="E164" s="259" t="s">
        <v>366</v>
      </c>
      <c r="F164" s="253">
        <v>0</v>
      </c>
      <c r="G164" s="260">
        <f>+G166</f>
        <v>59064.2</v>
      </c>
      <c r="H164" s="260">
        <f>+H166</f>
        <v>0</v>
      </c>
      <c r="I164" s="253">
        <f t="shared" si="63"/>
        <v>161000</v>
      </c>
      <c r="J164" s="260">
        <f aca="true" t="shared" si="66" ref="J164:W164">+J166</f>
        <v>161000</v>
      </c>
      <c r="K164" s="260">
        <f t="shared" si="66"/>
        <v>0</v>
      </c>
      <c r="L164" s="253">
        <f t="shared" si="60"/>
        <v>170000</v>
      </c>
      <c r="M164" s="261">
        <f t="shared" si="66"/>
        <v>170000</v>
      </c>
      <c r="N164" s="261">
        <f t="shared" si="66"/>
        <v>0</v>
      </c>
      <c r="O164" s="253">
        <f t="shared" si="51"/>
        <v>9000</v>
      </c>
      <c r="P164" s="253">
        <f t="shared" si="52"/>
        <v>9000</v>
      </c>
      <c r="Q164" s="253">
        <f t="shared" si="53"/>
        <v>0</v>
      </c>
      <c r="R164" s="253">
        <f t="shared" si="61"/>
        <v>170000</v>
      </c>
      <c r="S164" s="260">
        <f t="shared" si="66"/>
        <v>170000</v>
      </c>
      <c r="T164" s="260">
        <f t="shared" si="66"/>
        <v>0</v>
      </c>
      <c r="U164" s="253">
        <f t="shared" si="62"/>
        <v>170000</v>
      </c>
      <c r="V164" s="260">
        <f t="shared" si="66"/>
        <v>170000</v>
      </c>
      <c r="W164" s="260">
        <f t="shared" si="66"/>
        <v>0</v>
      </c>
      <c r="X164" s="240"/>
    </row>
    <row r="165" spans="1:24" ht="10.5">
      <c r="A165" s="250"/>
      <c r="B165" s="247"/>
      <c r="C165" s="247"/>
      <c r="D165" s="247"/>
      <c r="E165" s="255" t="s">
        <v>5</v>
      </c>
      <c r="F165" s="253">
        <f t="shared" si="58"/>
        <v>0</v>
      </c>
      <c r="G165" s="256"/>
      <c r="H165" s="256"/>
      <c r="I165" s="253">
        <f t="shared" si="63"/>
        <v>0</v>
      </c>
      <c r="J165" s="256"/>
      <c r="K165" s="256"/>
      <c r="L165" s="253">
        <f t="shared" si="60"/>
        <v>0</v>
      </c>
      <c r="M165" s="257"/>
      <c r="N165" s="257"/>
      <c r="O165" s="253">
        <f t="shared" si="51"/>
        <v>0</v>
      </c>
      <c r="P165" s="253">
        <f t="shared" si="52"/>
        <v>0</v>
      </c>
      <c r="Q165" s="253">
        <f t="shared" si="53"/>
        <v>0</v>
      </c>
      <c r="R165" s="267">
        <f t="shared" si="61"/>
        <v>0</v>
      </c>
      <c r="S165" s="256"/>
      <c r="T165" s="256"/>
      <c r="U165" s="253">
        <f t="shared" si="62"/>
        <v>0</v>
      </c>
      <c r="V165" s="256"/>
      <c r="W165" s="258"/>
      <c r="X165" s="240"/>
    </row>
    <row r="166" spans="1:24" ht="31.5">
      <c r="A166" s="250" t="s">
        <v>367</v>
      </c>
      <c r="B166" s="247" t="s">
        <v>365</v>
      </c>
      <c r="C166" s="247" t="s">
        <v>197</v>
      </c>
      <c r="D166" s="247" t="s">
        <v>194</v>
      </c>
      <c r="E166" s="259" t="s">
        <v>368</v>
      </c>
      <c r="F166" s="253">
        <v>0</v>
      </c>
      <c r="G166" s="260">
        <f>+G168</f>
        <v>59064.2</v>
      </c>
      <c r="H166" s="268">
        <f>+H168</f>
        <v>0</v>
      </c>
      <c r="I166" s="253">
        <f t="shared" si="63"/>
        <v>161000</v>
      </c>
      <c r="J166" s="260">
        <f aca="true" t="shared" si="67" ref="J166:W166">+J168</f>
        <v>161000</v>
      </c>
      <c r="K166" s="260">
        <f t="shared" si="67"/>
        <v>0</v>
      </c>
      <c r="L166" s="253">
        <f t="shared" si="60"/>
        <v>170000</v>
      </c>
      <c r="M166" s="261">
        <f t="shared" si="67"/>
        <v>170000</v>
      </c>
      <c r="N166" s="269">
        <f t="shared" si="67"/>
        <v>0</v>
      </c>
      <c r="O166" s="253">
        <f t="shared" si="51"/>
        <v>9000</v>
      </c>
      <c r="P166" s="253">
        <f t="shared" si="52"/>
        <v>9000</v>
      </c>
      <c r="Q166" s="253">
        <f t="shared" si="53"/>
        <v>0</v>
      </c>
      <c r="R166" s="253">
        <f t="shared" si="61"/>
        <v>170000</v>
      </c>
      <c r="S166" s="270">
        <f t="shared" si="67"/>
        <v>170000</v>
      </c>
      <c r="T166" s="260">
        <f t="shared" si="67"/>
        <v>0</v>
      </c>
      <c r="U166" s="253">
        <f t="shared" si="62"/>
        <v>170000</v>
      </c>
      <c r="V166" s="260">
        <f t="shared" si="67"/>
        <v>170000</v>
      </c>
      <c r="W166" s="260">
        <f t="shared" si="67"/>
        <v>0</v>
      </c>
      <c r="X166" s="240"/>
    </row>
    <row r="167" spans="1:24" ht="10.5">
      <c r="A167" s="250"/>
      <c r="B167" s="247"/>
      <c r="C167" s="247"/>
      <c r="D167" s="247"/>
      <c r="E167" s="255" t="s">
        <v>199</v>
      </c>
      <c r="F167" s="253">
        <f t="shared" si="58"/>
        <v>0</v>
      </c>
      <c r="G167" s="256"/>
      <c r="H167" s="258"/>
      <c r="I167" s="253">
        <f t="shared" si="63"/>
        <v>0</v>
      </c>
      <c r="J167" s="256"/>
      <c r="K167" s="256"/>
      <c r="L167" s="253">
        <f t="shared" si="60"/>
        <v>0</v>
      </c>
      <c r="M167" s="257"/>
      <c r="N167" s="271"/>
      <c r="O167" s="253">
        <f t="shared" si="51"/>
        <v>0</v>
      </c>
      <c r="P167" s="253">
        <f t="shared" si="52"/>
        <v>0</v>
      </c>
      <c r="Q167" s="253">
        <f t="shared" si="53"/>
        <v>0</v>
      </c>
      <c r="R167" s="253">
        <f t="shared" si="61"/>
        <v>0</v>
      </c>
      <c r="S167" s="272"/>
      <c r="T167" s="256"/>
      <c r="U167" s="253">
        <f t="shared" si="62"/>
        <v>0</v>
      </c>
      <c r="V167" s="256"/>
      <c r="W167" s="258"/>
      <c r="X167" s="240"/>
    </row>
    <row r="168" spans="1:24" ht="21.75" thickBot="1">
      <c r="A168" s="273" t="s">
        <v>369</v>
      </c>
      <c r="B168" s="274" t="s">
        <v>365</v>
      </c>
      <c r="C168" s="274" t="s">
        <v>197</v>
      </c>
      <c r="D168" s="274" t="s">
        <v>221</v>
      </c>
      <c r="E168" s="275" t="s">
        <v>370</v>
      </c>
      <c r="F168" s="253">
        <v>0</v>
      </c>
      <c r="G168" s="276">
        <v>59064.2</v>
      </c>
      <c r="H168" s="277"/>
      <c r="I168" s="253">
        <f t="shared" si="63"/>
        <v>161000</v>
      </c>
      <c r="J168" s="276">
        <v>161000</v>
      </c>
      <c r="K168" s="276"/>
      <c r="L168" s="253">
        <f t="shared" si="60"/>
        <v>170000</v>
      </c>
      <c r="M168" s="278">
        <v>170000</v>
      </c>
      <c r="N168" s="279"/>
      <c r="O168" s="253">
        <f t="shared" si="51"/>
        <v>9000</v>
      </c>
      <c r="P168" s="253">
        <f t="shared" si="52"/>
        <v>9000</v>
      </c>
      <c r="Q168" s="253">
        <f t="shared" si="53"/>
        <v>0</v>
      </c>
      <c r="R168" s="253">
        <f t="shared" si="61"/>
        <v>170000</v>
      </c>
      <c r="S168" s="280">
        <v>170000</v>
      </c>
      <c r="T168" s="276"/>
      <c r="U168" s="253">
        <f t="shared" si="62"/>
        <v>170000</v>
      </c>
      <c r="V168" s="276">
        <v>170000</v>
      </c>
      <c r="W168" s="277"/>
      <c r="X168" s="241"/>
    </row>
    <row r="169" spans="6:24" ht="10.5">
      <c r="F169" s="242"/>
      <c r="G169" s="242"/>
      <c r="H169" s="242"/>
      <c r="I169" s="242"/>
      <c r="J169" s="242"/>
      <c r="K169" s="242"/>
      <c r="L169" s="242"/>
      <c r="M169" s="281"/>
      <c r="N169" s="281"/>
      <c r="O169" s="282"/>
      <c r="P169" s="242"/>
      <c r="Q169" s="242"/>
      <c r="R169" s="282"/>
      <c r="S169" s="242"/>
      <c r="T169" s="242"/>
      <c r="U169" s="242"/>
      <c r="V169" s="242"/>
      <c r="W169" s="242"/>
      <c r="X169" s="242"/>
    </row>
    <row r="170" spans="6:24" ht="10.5">
      <c r="F170" s="242"/>
      <c r="G170" s="242"/>
      <c r="H170" s="242"/>
      <c r="I170" s="242"/>
      <c r="J170" s="242"/>
      <c r="K170" s="242"/>
      <c r="L170" s="242"/>
      <c r="M170" s="281"/>
      <c r="N170" s="281"/>
      <c r="O170" s="242"/>
      <c r="P170" s="242"/>
      <c r="Q170" s="242"/>
      <c r="R170" s="242"/>
      <c r="S170" s="242"/>
      <c r="T170" s="242"/>
      <c r="U170" s="242"/>
      <c r="V170" s="242"/>
      <c r="W170" s="242"/>
      <c r="X170" s="242"/>
    </row>
    <row r="171" spans="6:24" ht="10.5">
      <c r="F171" s="242"/>
      <c r="G171" s="242"/>
      <c r="H171" s="242"/>
      <c r="I171" s="242"/>
      <c r="J171" s="242"/>
      <c r="K171" s="242"/>
      <c r="L171" s="242"/>
      <c r="M171" s="281"/>
      <c r="N171" s="281"/>
      <c r="O171" s="242"/>
      <c r="P171" s="242"/>
      <c r="Q171" s="242"/>
      <c r="R171" s="242"/>
      <c r="S171" s="242"/>
      <c r="T171" s="242"/>
      <c r="U171" s="242"/>
      <c r="V171" s="242"/>
      <c r="W171" s="242"/>
      <c r="X171" s="242"/>
    </row>
    <row r="172" spans="6:24" ht="10.5">
      <c r="F172" s="242"/>
      <c r="G172" s="242"/>
      <c r="H172" s="242"/>
      <c r="I172" s="242"/>
      <c r="J172" s="242"/>
      <c r="K172" s="242"/>
      <c r="L172" s="242"/>
      <c r="M172" s="281"/>
      <c r="N172" s="281"/>
      <c r="O172" s="242"/>
      <c r="P172" s="242"/>
      <c r="Q172" s="242"/>
      <c r="R172" s="242"/>
      <c r="S172" s="242"/>
      <c r="T172" s="242"/>
      <c r="U172" s="242"/>
      <c r="V172" s="242"/>
      <c r="W172" s="242"/>
      <c r="X172" s="242"/>
    </row>
    <row r="173" spans="6:24" ht="10.5">
      <c r="F173" s="242"/>
      <c r="G173" s="242"/>
      <c r="H173" s="242"/>
      <c r="I173" s="242"/>
      <c r="J173" s="242"/>
      <c r="K173" s="242"/>
      <c r="L173" s="242"/>
      <c r="M173" s="281"/>
      <c r="N173" s="281"/>
      <c r="O173" s="242"/>
      <c r="P173" s="242"/>
      <c r="Q173" s="242"/>
      <c r="R173" s="242"/>
      <c r="S173" s="242"/>
      <c r="T173" s="242"/>
      <c r="U173" s="242"/>
      <c r="V173" s="242"/>
      <c r="W173" s="242"/>
      <c r="X173" s="242"/>
    </row>
    <row r="174" spans="6:24" ht="10.5">
      <c r="F174" s="242"/>
      <c r="G174" s="242"/>
      <c r="H174" s="242"/>
      <c r="I174" s="242"/>
      <c r="J174" s="242"/>
      <c r="K174" s="242"/>
      <c r="L174" s="242"/>
      <c r="M174" s="281"/>
      <c r="N174" s="281"/>
      <c r="O174" s="242"/>
      <c r="P174" s="242"/>
      <c r="Q174" s="242"/>
      <c r="R174" s="242"/>
      <c r="S174" s="242"/>
      <c r="T174" s="242"/>
      <c r="U174" s="242"/>
      <c r="V174" s="242"/>
      <c r="W174" s="242"/>
      <c r="X174" s="242"/>
    </row>
    <row r="175" spans="6:24" ht="10.5">
      <c r="F175" s="242"/>
      <c r="G175" s="242"/>
      <c r="H175" s="242"/>
      <c r="I175" s="242"/>
      <c r="J175" s="242"/>
      <c r="K175" s="242"/>
      <c r="L175" s="242"/>
      <c r="M175" s="281"/>
      <c r="N175" s="281"/>
      <c r="O175" s="242"/>
      <c r="P175" s="242"/>
      <c r="Q175" s="242"/>
      <c r="R175" s="242"/>
      <c r="S175" s="242"/>
      <c r="T175" s="242"/>
      <c r="U175" s="242"/>
      <c r="V175" s="242"/>
      <c r="W175" s="242"/>
      <c r="X175" s="242"/>
    </row>
    <row r="176" spans="6:24" ht="10.5">
      <c r="F176" s="242"/>
      <c r="G176" s="242"/>
      <c r="H176" s="242"/>
      <c r="I176" s="242"/>
      <c r="J176" s="242"/>
      <c r="K176" s="242"/>
      <c r="L176" s="242"/>
      <c r="M176" s="281"/>
      <c r="N176" s="281"/>
      <c r="O176" s="242"/>
      <c r="P176" s="242"/>
      <c r="Q176" s="242"/>
      <c r="R176" s="242"/>
      <c r="S176" s="242"/>
      <c r="T176" s="242"/>
      <c r="U176" s="242"/>
      <c r="V176" s="242"/>
      <c r="W176" s="242"/>
      <c r="X176" s="242"/>
    </row>
    <row r="177" spans="6:24" ht="10.5">
      <c r="F177" s="242"/>
      <c r="G177" s="242"/>
      <c r="H177" s="242"/>
      <c r="I177" s="242"/>
      <c r="J177" s="242"/>
      <c r="K177" s="242"/>
      <c r="L177" s="242"/>
      <c r="M177" s="281"/>
      <c r="N177" s="281"/>
      <c r="O177" s="242"/>
      <c r="P177" s="242"/>
      <c r="Q177" s="242"/>
      <c r="R177" s="242"/>
      <c r="S177" s="242"/>
      <c r="T177" s="242"/>
      <c r="U177" s="242"/>
      <c r="V177" s="242"/>
      <c r="W177" s="242"/>
      <c r="X177" s="242"/>
    </row>
    <row r="178" spans="6:24" ht="10.5">
      <c r="F178" s="242"/>
      <c r="G178" s="242"/>
      <c r="H178" s="242"/>
      <c r="I178" s="242"/>
      <c r="J178" s="242"/>
      <c r="K178" s="242"/>
      <c r="L178" s="242"/>
      <c r="M178" s="281"/>
      <c r="N178" s="281"/>
      <c r="O178" s="242"/>
      <c r="P178" s="242"/>
      <c r="Q178" s="242"/>
      <c r="R178" s="242"/>
      <c r="S178" s="242"/>
      <c r="T178" s="242"/>
      <c r="U178" s="242"/>
      <c r="V178" s="242"/>
      <c r="W178" s="242"/>
      <c r="X178" s="242"/>
    </row>
    <row r="179" spans="6:24" ht="10.5">
      <c r="F179" s="242"/>
      <c r="G179" s="242"/>
      <c r="H179" s="242"/>
      <c r="I179" s="242"/>
      <c r="J179" s="242"/>
      <c r="K179" s="242"/>
      <c r="L179" s="242"/>
      <c r="M179" s="281"/>
      <c r="N179" s="281"/>
      <c r="O179" s="242"/>
      <c r="P179" s="242"/>
      <c r="Q179" s="242"/>
      <c r="R179" s="242"/>
      <c r="S179" s="242"/>
      <c r="T179" s="242"/>
      <c r="U179" s="242"/>
      <c r="V179" s="242"/>
      <c r="W179" s="242"/>
      <c r="X179" s="242"/>
    </row>
    <row r="180" spans="6:24" ht="10.5">
      <c r="F180" s="242"/>
      <c r="G180" s="242"/>
      <c r="H180" s="242"/>
      <c r="I180" s="242"/>
      <c r="J180" s="242"/>
      <c r="K180" s="242"/>
      <c r="L180" s="242"/>
      <c r="M180" s="281"/>
      <c r="N180" s="281"/>
      <c r="O180" s="242"/>
      <c r="P180" s="242"/>
      <c r="Q180" s="242"/>
      <c r="R180" s="242"/>
      <c r="S180" s="242"/>
      <c r="T180" s="242"/>
      <c r="U180" s="242"/>
      <c r="V180" s="242"/>
      <c r="W180" s="242"/>
      <c r="X180" s="242"/>
    </row>
    <row r="181" spans="6:24" ht="10.5">
      <c r="F181" s="242"/>
      <c r="G181" s="242"/>
      <c r="H181" s="242"/>
      <c r="I181" s="242"/>
      <c r="J181" s="242"/>
      <c r="K181" s="242"/>
      <c r="L181" s="242"/>
      <c r="M181" s="281"/>
      <c r="N181" s="281"/>
      <c r="O181" s="242"/>
      <c r="P181" s="242"/>
      <c r="Q181" s="242"/>
      <c r="R181" s="242"/>
      <c r="S181" s="242"/>
      <c r="T181" s="242"/>
      <c r="U181" s="242"/>
      <c r="V181" s="242"/>
      <c r="W181" s="242"/>
      <c r="X181" s="242"/>
    </row>
    <row r="182" spans="6:24" ht="10.5">
      <c r="F182" s="242"/>
      <c r="G182" s="242"/>
      <c r="H182" s="242"/>
      <c r="I182" s="242"/>
      <c r="J182" s="242"/>
      <c r="K182" s="242"/>
      <c r="L182" s="242"/>
      <c r="M182" s="281"/>
      <c r="N182" s="281"/>
      <c r="O182" s="242"/>
      <c r="P182" s="242"/>
      <c r="Q182" s="242"/>
      <c r="R182" s="242"/>
      <c r="S182" s="242"/>
      <c r="T182" s="242"/>
      <c r="U182" s="242"/>
      <c r="V182" s="242"/>
      <c r="W182" s="242"/>
      <c r="X182" s="242"/>
    </row>
    <row r="183" spans="6:24" ht="10.5">
      <c r="F183" s="242"/>
      <c r="G183" s="242"/>
      <c r="H183" s="242"/>
      <c r="I183" s="242"/>
      <c r="J183" s="242"/>
      <c r="K183" s="242"/>
      <c r="L183" s="242"/>
      <c r="M183" s="281"/>
      <c r="N183" s="281"/>
      <c r="O183" s="242"/>
      <c r="P183" s="242"/>
      <c r="Q183" s="242"/>
      <c r="R183" s="242"/>
      <c r="S183" s="242"/>
      <c r="T183" s="242"/>
      <c r="U183" s="242"/>
      <c r="V183" s="242"/>
      <c r="W183" s="242"/>
      <c r="X183" s="242"/>
    </row>
    <row r="184" spans="6:24" ht="10.5">
      <c r="F184" s="242"/>
      <c r="G184" s="242"/>
      <c r="H184" s="242"/>
      <c r="I184" s="242"/>
      <c r="J184" s="242"/>
      <c r="K184" s="242"/>
      <c r="L184" s="242"/>
      <c r="M184" s="281"/>
      <c r="N184" s="281"/>
      <c r="O184" s="242"/>
      <c r="P184" s="242"/>
      <c r="Q184" s="242"/>
      <c r="R184" s="242"/>
      <c r="S184" s="242"/>
      <c r="T184" s="242"/>
      <c r="U184" s="242"/>
      <c r="V184" s="242"/>
      <c r="W184" s="242"/>
      <c r="X184" s="242"/>
    </row>
  </sheetData>
  <sheetProtection/>
  <mergeCells count="26">
    <mergeCell ref="U2:X2"/>
    <mergeCell ref="A4:X4"/>
    <mergeCell ref="I7:I8"/>
    <mergeCell ref="J7:K7"/>
    <mergeCell ref="O6:Q6"/>
    <mergeCell ref="O7:O8"/>
    <mergeCell ref="P7:Q7"/>
    <mergeCell ref="X7:X8"/>
    <mergeCell ref="A6:A8"/>
    <mergeCell ref="B6:B8"/>
    <mergeCell ref="C6:C8"/>
    <mergeCell ref="D6:D8"/>
    <mergeCell ref="E6:E8"/>
    <mergeCell ref="F6:H6"/>
    <mergeCell ref="I6:K6"/>
    <mergeCell ref="F7:F8"/>
    <mergeCell ref="G7:H7"/>
    <mergeCell ref="L6:N6"/>
    <mergeCell ref="R6:T6"/>
    <mergeCell ref="U6:W6"/>
    <mergeCell ref="L7:L8"/>
    <mergeCell ref="M7:N7"/>
    <mergeCell ref="R7:R8"/>
    <mergeCell ref="S7:T7"/>
    <mergeCell ref="U7:U8"/>
    <mergeCell ref="V7:W7"/>
  </mergeCells>
  <printOptions/>
  <pageMargins left="0" right="0" top="0" bottom="0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58"/>
  <sheetViews>
    <sheetView zoomScale="110" zoomScaleNormal="110" zoomScalePageLayoutView="0" workbookViewId="0" topLeftCell="A125">
      <selection activeCell="V142" sqref="A1:V142"/>
    </sheetView>
  </sheetViews>
  <sheetFormatPr defaultColWidth="9.140625" defaultRowHeight="12"/>
  <cols>
    <col min="1" max="1" width="11.28125" style="2" customWidth="1"/>
    <col min="2" max="2" width="32.140625" style="3" customWidth="1"/>
    <col min="3" max="3" width="6.28125" style="2" customWidth="1"/>
    <col min="4" max="9" width="10.8515625" style="2" customWidth="1"/>
    <col min="10" max="10" width="10.8515625" style="1" customWidth="1"/>
    <col min="11" max="12" width="10.8515625" style="69" customWidth="1"/>
    <col min="13" max="21" width="10.8515625" style="1" customWidth="1"/>
    <col min="22" max="22" width="15.421875" style="0" customWidth="1"/>
  </cols>
  <sheetData>
    <row r="1" spans="1:22" s="138" customFormat="1" ht="66.75" customHeight="1">
      <c r="A1" s="136"/>
      <c r="B1" s="137"/>
      <c r="C1" s="136"/>
      <c r="D1" s="136"/>
      <c r="E1" s="136"/>
      <c r="F1" s="136"/>
      <c r="G1" s="136"/>
      <c r="H1" s="136"/>
      <c r="I1" s="136"/>
      <c r="J1" s="136"/>
      <c r="K1" s="84"/>
      <c r="L1" s="84"/>
      <c r="M1" s="85"/>
      <c r="N1" s="85"/>
      <c r="O1" s="85"/>
      <c r="P1" s="85"/>
      <c r="Q1" s="84"/>
      <c r="R1" s="84"/>
      <c r="S1" s="200" t="s">
        <v>754</v>
      </c>
      <c r="T1" s="200"/>
      <c r="U1" s="200"/>
      <c r="V1" s="200"/>
    </row>
    <row r="2" spans="1:22" ht="27" customHeight="1">
      <c r="A2" s="19"/>
      <c r="B2" s="20"/>
      <c r="C2" s="19"/>
      <c r="D2" s="19"/>
      <c r="E2" s="19"/>
      <c r="F2" s="19"/>
      <c r="G2" s="19"/>
      <c r="H2" s="19"/>
      <c r="I2" s="19"/>
      <c r="J2" s="21"/>
      <c r="K2" s="77"/>
      <c r="L2" s="78"/>
      <c r="M2" s="30"/>
      <c r="N2" s="30"/>
      <c r="O2" s="30"/>
      <c r="P2" s="21"/>
      <c r="Q2" s="21"/>
      <c r="R2" s="30"/>
      <c r="S2" s="21"/>
      <c r="T2" s="208"/>
      <c r="U2" s="208"/>
      <c r="V2" s="208"/>
    </row>
    <row r="3" spans="1:21" ht="42.75" customHeight="1">
      <c r="A3" s="218" t="s">
        <v>762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</row>
    <row r="4" spans="1:22" ht="18.75" customHeight="1">
      <c r="A4" s="19"/>
      <c r="B4" s="20"/>
      <c r="C4" s="19"/>
      <c r="D4" s="19"/>
      <c r="E4" s="19"/>
      <c r="F4" s="19"/>
      <c r="G4" s="19"/>
      <c r="H4" s="19"/>
      <c r="I4" s="19"/>
      <c r="J4" s="21"/>
      <c r="K4" s="77"/>
      <c r="L4" s="77"/>
      <c r="M4" s="21"/>
      <c r="N4" s="21"/>
      <c r="O4" s="21"/>
      <c r="P4" s="21"/>
      <c r="Q4" s="21"/>
      <c r="R4" s="21"/>
      <c r="S4" s="21"/>
      <c r="T4" s="21"/>
      <c r="V4" s="22" t="s">
        <v>0</v>
      </c>
    </row>
    <row r="5" spans="1:22" ht="23.25" customHeight="1">
      <c r="A5" s="219" t="s">
        <v>1</v>
      </c>
      <c r="B5" s="220" t="s">
        <v>371</v>
      </c>
      <c r="C5" s="219" t="s">
        <v>372</v>
      </c>
      <c r="D5" s="216" t="s">
        <v>600</v>
      </c>
      <c r="E5" s="216"/>
      <c r="F5" s="216"/>
      <c r="G5" s="216" t="s">
        <v>601</v>
      </c>
      <c r="H5" s="216"/>
      <c r="I5" s="216"/>
      <c r="J5" s="216" t="s">
        <v>183</v>
      </c>
      <c r="K5" s="216"/>
      <c r="L5" s="216"/>
      <c r="M5" s="217" t="s">
        <v>602</v>
      </c>
      <c r="N5" s="217"/>
      <c r="O5" s="217"/>
      <c r="P5" s="216" t="s">
        <v>184</v>
      </c>
      <c r="Q5" s="216"/>
      <c r="R5" s="216"/>
      <c r="S5" s="216" t="s">
        <v>185</v>
      </c>
      <c r="T5" s="216"/>
      <c r="U5" s="216"/>
      <c r="V5" s="35" t="s">
        <v>603</v>
      </c>
    </row>
    <row r="6" spans="1:22" ht="20.25" customHeight="1">
      <c r="A6" s="219"/>
      <c r="B6" s="220"/>
      <c r="C6" s="219"/>
      <c r="D6" s="204" t="s">
        <v>4</v>
      </c>
      <c r="E6" s="204" t="s">
        <v>5</v>
      </c>
      <c r="F6" s="204"/>
      <c r="G6" s="204" t="s">
        <v>4</v>
      </c>
      <c r="H6" s="204" t="s">
        <v>5</v>
      </c>
      <c r="I6" s="204"/>
      <c r="J6" s="204" t="s">
        <v>4</v>
      </c>
      <c r="K6" s="185" t="s">
        <v>5</v>
      </c>
      <c r="L6" s="185"/>
      <c r="M6" s="204" t="s">
        <v>4</v>
      </c>
      <c r="N6" s="204" t="s">
        <v>5</v>
      </c>
      <c r="O6" s="204"/>
      <c r="P6" s="204" t="s">
        <v>4</v>
      </c>
      <c r="Q6" s="204" t="s">
        <v>5</v>
      </c>
      <c r="R6" s="204"/>
      <c r="S6" s="204" t="s">
        <v>4</v>
      </c>
      <c r="T6" s="204" t="s">
        <v>5</v>
      </c>
      <c r="U6" s="204"/>
      <c r="V6" s="212" t="s">
        <v>604</v>
      </c>
    </row>
    <row r="7" spans="1:22" ht="34.5" customHeight="1">
      <c r="A7" s="219"/>
      <c r="B7" s="220"/>
      <c r="C7" s="219"/>
      <c r="D7" s="204"/>
      <c r="E7" s="9" t="s">
        <v>6</v>
      </c>
      <c r="F7" s="9" t="s">
        <v>7</v>
      </c>
      <c r="G7" s="204"/>
      <c r="H7" s="9" t="s">
        <v>6</v>
      </c>
      <c r="I7" s="9" t="s">
        <v>7</v>
      </c>
      <c r="J7" s="204"/>
      <c r="K7" s="68" t="s">
        <v>6</v>
      </c>
      <c r="L7" s="68" t="s">
        <v>7</v>
      </c>
      <c r="M7" s="204"/>
      <c r="N7" s="9" t="s">
        <v>6</v>
      </c>
      <c r="O7" s="9" t="s">
        <v>7</v>
      </c>
      <c r="P7" s="204"/>
      <c r="Q7" s="9" t="s">
        <v>6</v>
      </c>
      <c r="R7" s="9" t="s">
        <v>7</v>
      </c>
      <c r="S7" s="204"/>
      <c r="T7" s="9" t="s">
        <v>6</v>
      </c>
      <c r="U7" s="9" t="s">
        <v>7</v>
      </c>
      <c r="V7" s="212"/>
    </row>
    <row r="8" spans="1:22" ht="16.5" customHeight="1">
      <c r="A8" s="7">
        <v>1</v>
      </c>
      <c r="B8" s="9">
        <v>2</v>
      </c>
      <c r="C8" s="7">
        <v>3</v>
      </c>
      <c r="D8" s="9">
        <v>4</v>
      </c>
      <c r="E8" s="7">
        <v>5</v>
      </c>
      <c r="F8" s="9">
        <v>6</v>
      </c>
      <c r="G8" s="7">
        <v>7</v>
      </c>
      <c r="H8" s="9">
        <v>8</v>
      </c>
      <c r="I8" s="7">
        <v>9</v>
      </c>
      <c r="J8" s="9">
        <v>10</v>
      </c>
      <c r="K8" s="72">
        <v>11</v>
      </c>
      <c r="L8" s="68">
        <v>12</v>
      </c>
      <c r="M8" s="7">
        <v>13</v>
      </c>
      <c r="N8" s="9">
        <v>14</v>
      </c>
      <c r="O8" s="7">
        <v>15</v>
      </c>
      <c r="P8" s="9">
        <v>16</v>
      </c>
      <c r="Q8" s="7">
        <v>17</v>
      </c>
      <c r="R8" s="9">
        <v>18</v>
      </c>
      <c r="S8" s="7">
        <v>19</v>
      </c>
      <c r="T8" s="9">
        <v>20</v>
      </c>
      <c r="U8" s="7">
        <v>21</v>
      </c>
      <c r="V8" s="9">
        <v>22</v>
      </c>
    </row>
    <row r="9" spans="1:24" s="4" customFormat="1" ht="23.25" customHeight="1">
      <c r="A9" s="6" t="s">
        <v>373</v>
      </c>
      <c r="B9" s="24" t="s">
        <v>191</v>
      </c>
      <c r="C9" s="6" t="s">
        <v>10</v>
      </c>
      <c r="D9" s="51">
        <f>+E9+F9-59064.2</f>
        <v>3788579.1999999997</v>
      </c>
      <c r="E9" s="51">
        <f>+E11+E111+E133</f>
        <v>2754834.5</v>
      </c>
      <c r="F9" s="51">
        <f>+F11+F111+F133</f>
        <v>1092808.9</v>
      </c>
      <c r="G9" s="51">
        <f>+H9+I9</f>
        <v>4570651.2</v>
      </c>
      <c r="H9" s="51">
        <f>+H11+H111+H133</f>
        <v>3150000</v>
      </c>
      <c r="I9" s="51">
        <f>+I11+I111+I133</f>
        <v>1420651.2</v>
      </c>
      <c r="J9" s="51">
        <f>+K9+L9</f>
        <v>4343645</v>
      </c>
      <c r="K9" s="79">
        <f>+K11+K111+K133</f>
        <v>3310000</v>
      </c>
      <c r="L9" s="79">
        <f>+L11+L111+L133</f>
        <v>1033645</v>
      </c>
      <c r="M9" s="51">
        <f>+J9-G9</f>
        <v>-227006.2000000002</v>
      </c>
      <c r="N9" s="51">
        <f>+K9-H9</f>
        <v>160000</v>
      </c>
      <c r="O9" s="51">
        <f>+L9-I9</f>
        <v>-387006.19999999995</v>
      </c>
      <c r="P9" s="256">
        <f>+4!R10</f>
        <v>5048492</v>
      </c>
      <c r="Q9" s="256">
        <f>+4!S10</f>
        <v>3311492</v>
      </c>
      <c r="R9" s="256">
        <f>+4!T10</f>
        <v>1737000</v>
      </c>
      <c r="S9" s="256">
        <f>+4!U10</f>
        <v>5447120</v>
      </c>
      <c r="T9" s="256">
        <f>+4!V10</f>
        <v>3324620</v>
      </c>
      <c r="U9" s="256">
        <f>+4!W10</f>
        <v>2122500</v>
      </c>
      <c r="V9" s="52"/>
      <c r="W9" s="53"/>
      <c r="X9" s="53"/>
    </row>
    <row r="10" spans="1:24" ht="12.75" customHeight="1">
      <c r="A10" s="14"/>
      <c r="B10" s="13" t="s">
        <v>5</v>
      </c>
      <c r="C10" s="14"/>
      <c r="D10" s="51">
        <f aca="true" t="shared" si="0" ref="D10:D77">+E10+F10</f>
        <v>0</v>
      </c>
      <c r="E10" s="54"/>
      <c r="F10" s="54"/>
      <c r="G10" s="51"/>
      <c r="H10" s="54"/>
      <c r="I10" s="54"/>
      <c r="J10" s="51"/>
      <c r="K10" s="75"/>
      <c r="L10" s="75"/>
      <c r="M10" s="51">
        <f aca="true" t="shared" si="1" ref="M10:M73">+J10-G10</f>
        <v>0</v>
      </c>
      <c r="N10" s="51">
        <f aca="true" t="shared" si="2" ref="N10:N73">+K10-H10</f>
        <v>0</v>
      </c>
      <c r="O10" s="51">
        <f aca="true" t="shared" si="3" ref="O10:O73">+L10-I10</f>
        <v>0</v>
      </c>
      <c r="P10" s="51"/>
      <c r="Q10" s="51">
        <f aca="true" t="shared" si="4" ref="Q10:Q73">+K10</f>
        <v>0</v>
      </c>
      <c r="R10" s="47"/>
      <c r="S10" s="51"/>
      <c r="T10" s="51">
        <f aca="true" t="shared" si="5" ref="T10:T73">+K10</f>
        <v>0</v>
      </c>
      <c r="U10" s="47"/>
      <c r="V10" s="55"/>
      <c r="W10" s="50"/>
      <c r="X10" s="50"/>
    </row>
    <row r="11" spans="1:24" s="4" customFormat="1" ht="24.75" customHeight="1">
      <c r="A11" s="6" t="s">
        <v>374</v>
      </c>
      <c r="B11" s="24" t="s">
        <v>375</v>
      </c>
      <c r="C11" s="6" t="s">
        <v>376</v>
      </c>
      <c r="D11" s="51">
        <f t="shared" si="0"/>
        <v>2754834.5</v>
      </c>
      <c r="E11" s="51">
        <f>+E13+E20+E60+E65+E74+E85+E93</f>
        <v>2754834.5</v>
      </c>
      <c r="F11" s="51">
        <f>+F13+F20+F60+F65+F74+F85+F93</f>
        <v>0</v>
      </c>
      <c r="G11" s="51">
        <f aca="true" t="shared" si="6" ref="G11:G77">+H11+I11</f>
        <v>3150000</v>
      </c>
      <c r="H11" s="51">
        <f>+H13+H20+H60+H65+H74+H85+H93</f>
        <v>3150000</v>
      </c>
      <c r="I11" s="51">
        <f>+I13+I20+I60+I65+I74+I85+I93</f>
        <v>0</v>
      </c>
      <c r="J11" s="51">
        <f aca="true" t="shared" si="7" ref="J11:J77">+K11+L11</f>
        <v>3310000</v>
      </c>
      <c r="K11" s="79">
        <f>+K13+K20+K60+K65+K74+K85+K93</f>
        <v>3310000</v>
      </c>
      <c r="L11" s="79">
        <f>+L13+L20+L60+L65+L74+L85+L93</f>
        <v>0</v>
      </c>
      <c r="M11" s="51">
        <f t="shared" si="1"/>
        <v>160000</v>
      </c>
      <c r="N11" s="51">
        <f t="shared" si="2"/>
        <v>160000</v>
      </c>
      <c r="O11" s="51">
        <f t="shared" si="3"/>
        <v>0</v>
      </c>
      <c r="P11" s="51">
        <f aca="true" t="shared" si="8" ref="P11:P77">+Q11+R11</f>
        <v>3310000</v>
      </c>
      <c r="Q11" s="51">
        <f t="shared" si="4"/>
        <v>3310000</v>
      </c>
      <c r="R11" s="51">
        <f>+R13+R20+R60+R65+R74+R85+R93</f>
        <v>0</v>
      </c>
      <c r="S11" s="51">
        <f aca="true" t="shared" si="9" ref="S11:S77">+T11+U11</f>
        <v>3310000</v>
      </c>
      <c r="T11" s="51">
        <f t="shared" si="5"/>
        <v>3310000</v>
      </c>
      <c r="U11" s="51">
        <f>+U13+U20+U60+U65+U74+U85+U93</f>
        <v>0</v>
      </c>
      <c r="V11" s="52"/>
      <c r="W11" s="53"/>
      <c r="X11" s="53"/>
    </row>
    <row r="12" spans="1:24" ht="12.75" customHeight="1">
      <c r="A12" s="14"/>
      <c r="B12" s="13" t="s">
        <v>5</v>
      </c>
      <c r="C12" s="14"/>
      <c r="D12" s="51">
        <f t="shared" si="0"/>
        <v>0</v>
      </c>
      <c r="E12" s="54"/>
      <c r="F12" s="54"/>
      <c r="G12" s="51"/>
      <c r="H12" s="54"/>
      <c r="I12" s="54"/>
      <c r="J12" s="51">
        <f t="shared" si="7"/>
        <v>0</v>
      </c>
      <c r="K12" s="75"/>
      <c r="L12" s="75"/>
      <c r="M12" s="51">
        <f t="shared" si="1"/>
        <v>0</v>
      </c>
      <c r="N12" s="51">
        <f t="shared" si="2"/>
        <v>0</v>
      </c>
      <c r="O12" s="51">
        <f t="shared" si="3"/>
        <v>0</v>
      </c>
      <c r="P12" s="51">
        <f t="shared" si="8"/>
        <v>0</v>
      </c>
      <c r="Q12" s="51">
        <f t="shared" si="4"/>
        <v>0</v>
      </c>
      <c r="R12" s="47"/>
      <c r="S12" s="51">
        <f t="shared" si="9"/>
        <v>0</v>
      </c>
      <c r="T12" s="51">
        <f t="shared" si="5"/>
        <v>0</v>
      </c>
      <c r="U12" s="47"/>
      <c r="V12" s="55"/>
      <c r="W12" s="50"/>
      <c r="X12" s="50"/>
    </row>
    <row r="13" spans="1:24" s="4" customFormat="1" ht="25.5" customHeight="1">
      <c r="A13" s="6" t="s">
        <v>377</v>
      </c>
      <c r="B13" s="11" t="s">
        <v>378</v>
      </c>
      <c r="C13" s="6" t="s">
        <v>376</v>
      </c>
      <c r="D13" s="51">
        <f t="shared" si="0"/>
        <v>737357.7</v>
      </c>
      <c r="E13" s="51">
        <f aca="true" t="shared" si="10" ref="E13:U13">+E15</f>
        <v>737357.7</v>
      </c>
      <c r="F13" s="51">
        <f t="shared" si="10"/>
        <v>0</v>
      </c>
      <c r="G13" s="51">
        <f t="shared" si="6"/>
        <v>733798.5</v>
      </c>
      <c r="H13" s="51">
        <f t="shared" si="10"/>
        <v>733798.5</v>
      </c>
      <c r="I13" s="51">
        <f t="shared" si="10"/>
        <v>0</v>
      </c>
      <c r="J13" s="51">
        <f t="shared" si="7"/>
        <v>756800</v>
      </c>
      <c r="K13" s="79">
        <f t="shared" si="10"/>
        <v>756800</v>
      </c>
      <c r="L13" s="79">
        <f t="shared" si="10"/>
        <v>0</v>
      </c>
      <c r="M13" s="51">
        <f t="shared" si="1"/>
        <v>23001.5</v>
      </c>
      <c r="N13" s="51">
        <f t="shared" si="2"/>
        <v>23001.5</v>
      </c>
      <c r="O13" s="51">
        <f t="shared" si="3"/>
        <v>0</v>
      </c>
      <c r="P13" s="51">
        <f t="shared" si="8"/>
        <v>756800</v>
      </c>
      <c r="Q13" s="51">
        <f t="shared" si="4"/>
        <v>756800</v>
      </c>
      <c r="R13" s="51">
        <f t="shared" si="10"/>
        <v>0</v>
      </c>
      <c r="S13" s="51">
        <f t="shared" si="9"/>
        <v>756800</v>
      </c>
      <c r="T13" s="51">
        <f t="shared" si="5"/>
        <v>756800</v>
      </c>
      <c r="U13" s="51">
        <f t="shared" si="10"/>
        <v>0</v>
      </c>
      <c r="V13" s="52"/>
      <c r="W13" s="53"/>
      <c r="X13" s="53"/>
    </row>
    <row r="14" spans="1:24" ht="12.75" customHeight="1">
      <c r="A14" s="14"/>
      <c r="B14" s="13" t="s">
        <v>5</v>
      </c>
      <c r="C14" s="14"/>
      <c r="D14" s="51">
        <f t="shared" si="0"/>
        <v>0</v>
      </c>
      <c r="E14" s="54"/>
      <c r="F14" s="54"/>
      <c r="G14" s="51"/>
      <c r="H14" s="54"/>
      <c r="I14" s="54"/>
      <c r="J14" s="51">
        <f t="shared" si="7"/>
        <v>0</v>
      </c>
      <c r="K14" s="75"/>
      <c r="L14" s="75"/>
      <c r="M14" s="51">
        <f t="shared" si="1"/>
        <v>0</v>
      </c>
      <c r="N14" s="51">
        <f t="shared" si="2"/>
        <v>0</v>
      </c>
      <c r="O14" s="51">
        <f t="shared" si="3"/>
        <v>0</v>
      </c>
      <c r="P14" s="51">
        <f t="shared" si="8"/>
        <v>0</v>
      </c>
      <c r="Q14" s="51">
        <f t="shared" si="4"/>
        <v>0</v>
      </c>
      <c r="R14" s="47"/>
      <c r="S14" s="51">
        <f t="shared" si="9"/>
        <v>0</v>
      </c>
      <c r="T14" s="51">
        <f t="shared" si="5"/>
        <v>0</v>
      </c>
      <c r="U14" s="47"/>
      <c r="V14" s="55"/>
      <c r="W14" s="50"/>
      <c r="X14" s="50"/>
    </row>
    <row r="15" spans="1:24" s="4" customFormat="1" ht="25.5" customHeight="1">
      <c r="A15" s="6" t="s">
        <v>379</v>
      </c>
      <c r="B15" s="11" t="s">
        <v>380</v>
      </c>
      <c r="C15" s="6" t="s">
        <v>376</v>
      </c>
      <c r="D15" s="51">
        <f t="shared" si="0"/>
        <v>737357.7</v>
      </c>
      <c r="E15" s="51">
        <f aca="true" t="shared" si="11" ref="E15:U15">+E17+E18+E19</f>
        <v>737357.7</v>
      </c>
      <c r="F15" s="51">
        <f t="shared" si="11"/>
        <v>0</v>
      </c>
      <c r="G15" s="51">
        <f t="shared" si="6"/>
        <v>733798.5</v>
      </c>
      <c r="H15" s="51">
        <f t="shared" si="11"/>
        <v>733798.5</v>
      </c>
      <c r="I15" s="51">
        <f t="shared" si="11"/>
        <v>0</v>
      </c>
      <c r="J15" s="51">
        <f t="shared" si="7"/>
        <v>756800</v>
      </c>
      <c r="K15" s="79">
        <f t="shared" si="11"/>
        <v>756800</v>
      </c>
      <c r="L15" s="79">
        <f t="shared" si="11"/>
        <v>0</v>
      </c>
      <c r="M15" s="51">
        <f t="shared" si="1"/>
        <v>23001.5</v>
      </c>
      <c r="N15" s="51">
        <f t="shared" si="2"/>
        <v>23001.5</v>
      </c>
      <c r="O15" s="51">
        <f t="shared" si="3"/>
        <v>0</v>
      </c>
      <c r="P15" s="51">
        <f t="shared" si="8"/>
        <v>756800</v>
      </c>
      <c r="Q15" s="51">
        <f t="shared" si="4"/>
        <v>756800</v>
      </c>
      <c r="R15" s="51">
        <f t="shared" si="11"/>
        <v>0</v>
      </c>
      <c r="S15" s="51">
        <f t="shared" si="9"/>
        <v>756800</v>
      </c>
      <c r="T15" s="51">
        <f t="shared" si="5"/>
        <v>756800</v>
      </c>
      <c r="U15" s="51">
        <f t="shared" si="11"/>
        <v>0</v>
      </c>
      <c r="V15" s="52"/>
      <c r="W15" s="53"/>
      <c r="X15" s="53"/>
    </row>
    <row r="16" spans="1:24" ht="12.75" customHeight="1">
      <c r="A16" s="14"/>
      <c r="B16" s="13" t="s">
        <v>199</v>
      </c>
      <c r="C16" s="14"/>
      <c r="D16" s="51">
        <f t="shared" si="0"/>
        <v>0</v>
      </c>
      <c r="E16" s="54"/>
      <c r="F16" s="54"/>
      <c r="G16" s="51"/>
      <c r="H16" s="54"/>
      <c r="I16" s="54"/>
      <c r="J16" s="51"/>
      <c r="K16" s="75"/>
      <c r="L16" s="75"/>
      <c r="M16" s="51">
        <f t="shared" si="1"/>
        <v>0</v>
      </c>
      <c r="N16" s="51">
        <f t="shared" si="2"/>
        <v>0</v>
      </c>
      <c r="O16" s="51">
        <f t="shared" si="3"/>
        <v>0</v>
      </c>
      <c r="P16" s="51"/>
      <c r="Q16" s="51">
        <f t="shared" si="4"/>
        <v>0</v>
      </c>
      <c r="R16" s="47"/>
      <c r="S16" s="51"/>
      <c r="T16" s="51">
        <f t="shared" si="5"/>
        <v>0</v>
      </c>
      <c r="U16" s="47"/>
      <c r="V16" s="55"/>
      <c r="W16" s="50"/>
      <c r="X16" s="50"/>
    </row>
    <row r="17" spans="1:24" ht="14.25" customHeight="1">
      <c r="A17" s="14" t="s">
        <v>381</v>
      </c>
      <c r="B17" s="13" t="s">
        <v>382</v>
      </c>
      <c r="C17" s="14" t="s">
        <v>381</v>
      </c>
      <c r="D17" s="51">
        <f t="shared" si="0"/>
        <v>653462.7</v>
      </c>
      <c r="E17" s="54">
        <v>653462.7</v>
      </c>
      <c r="F17" s="54"/>
      <c r="G17" s="51">
        <f t="shared" si="6"/>
        <v>726798.5</v>
      </c>
      <c r="H17" s="54">
        <v>726798.5</v>
      </c>
      <c r="I17" s="54"/>
      <c r="J17" s="51">
        <f t="shared" si="7"/>
        <v>732300</v>
      </c>
      <c r="K17" s="75">
        <v>732300</v>
      </c>
      <c r="L17" s="75"/>
      <c r="M17" s="51">
        <f t="shared" si="1"/>
        <v>5501.5</v>
      </c>
      <c r="N17" s="51">
        <f t="shared" si="2"/>
        <v>5501.5</v>
      </c>
      <c r="O17" s="51">
        <f t="shared" si="3"/>
        <v>0</v>
      </c>
      <c r="P17" s="51">
        <f t="shared" si="8"/>
        <v>732300</v>
      </c>
      <c r="Q17" s="51">
        <f t="shared" si="4"/>
        <v>732300</v>
      </c>
      <c r="R17" s="47"/>
      <c r="S17" s="51">
        <f t="shared" si="9"/>
        <v>732300</v>
      </c>
      <c r="T17" s="51">
        <f t="shared" si="5"/>
        <v>732300</v>
      </c>
      <c r="U17" s="47"/>
      <c r="V17" s="55"/>
      <c r="W17" s="50"/>
      <c r="X17" s="50"/>
    </row>
    <row r="18" spans="1:24" ht="26.25" customHeight="1">
      <c r="A18" s="14" t="s">
        <v>383</v>
      </c>
      <c r="B18" s="13" t="s">
        <v>384</v>
      </c>
      <c r="C18" s="14" t="s">
        <v>383</v>
      </c>
      <c r="D18" s="51">
        <f t="shared" si="0"/>
        <v>83895</v>
      </c>
      <c r="E18" s="54">
        <v>83895</v>
      </c>
      <c r="F18" s="54"/>
      <c r="G18" s="51">
        <f t="shared" si="6"/>
        <v>5000</v>
      </c>
      <c r="H18" s="54">
        <v>5000</v>
      </c>
      <c r="I18" s="54"/>
      <c r="J18" s="51">
        <f t="shared" si="7"/>
        <v>2000</v>
      </c>
      <c r="K18" s="75">
        <v>2000</v>
      </c>
      <c r="L18" s="75"/>
      <c r="M18" s="51">
        <f t="shared" si="1"/>
        <v>-3000</v>
      </c>
      <c r="N18" s="51">
        <f t="shared" si="2"/>
        <v>-3000</v>
      </c>
      <c r="O18" s="51">
        <f t="shared" si="3"/>
        <v>0</v>
      </c>
      <c r="P18" s="51">
        <f t="shared" si="8"/>
        <v>2000</v>
      </c>
      <c r="Q18" s="51">
        <f t="shared" si="4"/>
        <v>2000</v>
      </c>
      <c r="R18" s="47"/>
      <c r="S18" s="51">
        <f t="shared" si="9"/>
        <v>2000</v>
      </c>
      <c r="T18" s="51">
        <f t="shared" si="5"/>
        <v>2000</v>
      </c>
      <c r="U18" s="47"/>
      <c r="V18" s="55"/>
      <c r="W18" s="50"/>
      <c r="X18" s="50"/>
    </row>
    <row r="19" spans="1:24" ht="26.25" customHeight="1">
      <c r="A19" s="14">
        <v>4114</v>
      </c>
      <c r="B19" s="43" t="s">
        <v>638</v>
      </c>
      <c r="C19" s="44" t="s">
        <v>690</v>
      </c>
      <c r="D19" s="51">
        <f t="shared" si="0"/>
        <v>0</v>
      </c>
      <c r="E19" s="54"/>
      <c r="F19" s="54"/>
      <c r="G19" s="51">
        <f t="shared" si="6"/>
        <v>2000</v>
      </c>
      <c r="H19" s="54">
        <v>2000</v>
      </c>
      <c r="I19" s="54"/>
      <c r="J19" s="51">
        <f t="shared" si="7"/>
        <v>22500</v>
      </c>
      <c r="K19" s="75">
        <v>22500</v>
      </c>
      <c r="L19" s="75"/>
      <c r="M19" s="51">
        <f t="shared" si="1"/>
        <v>20500</v>
      </c>
      <c r="N19" s="51">
        <f t="shared" si="2"/>
        <v>20500</v>
      </c>
      <c r="O19" s="51">
        <f t="shared" si="3"/>
        <v>0</v>
      </c>
      <c r="P19" s="51">
        <f t="shared" si="8"/>
        <v>22500</v>
      </c>
      <c r="Q19" s="51">
        <f t="shared" si="4"/>
        <v>22500</v>
      </c>
      <c r="R19" s="47"/>
      <c r="S19" s="51">
        <f t="shared" si="9"/>
        <v>22500</v>
      </c>
      <c r="T19" s="51">
        <f t="shared" si="5"/>
        <v>22500</v>
      </c>
      <c r="U19" s="47"/>
      <c r="V19" s="55"/>
      <c r="W19" s="50"/>
      <c r="X19" s="50"/>
    </row>
    <row r="20" spans="1:24" s="4" customFormat="1" ht="29.25" customHeight="1">
      <c r="A20" s="6" t="s">
        <v>385</v>
      </c>
      <c r="B20" s="11" t="s">
        <v>386</v>
      </c>
      <c r="C20" s="6" t="s">
        <v>376</v>
      </c>
      <c r="D20" s="51">
        <f t="shared" si="0"/>
        <v>254504</v>
      </c>
      <c r="E20" s="51">
        <f aca="true" t="shared" si="12" ref="E20:U20">+E22+E30+E34+E44+E47+E51</f>
        <v>254504</v>
      </c>
      <c r="F20" s="51">
        <f t="shared" si="12"/>
        <v>0</v>
      </c>
      <c r="G20" s="51">
        <f t="shared" si="6"/>
        <v>302891.5</v>
      </c>
      <c r="H20" s="51">
        <f t="shared" si="12"/>
        <v>302891.5</v>
      </c>
      <c r="I20" s="51">
        <f t="shared" si="12"/>
        <v>0</v>
      </c>
      <c r="J20" s="51">
        <f t="shared" si="7"/>
        <v>246190</v>
      </c>
      <c r="K20" s="79">
        <f t="shared" si="12"/>
        <v>246190</v>
      </c>
      <c r="L20" s="79">
        <f t="shared" si="12"/>
        <v>0</v>
      </c>
      <c r="M20" s="51">
        <f t="shared" si="1"/>
        <v>-56701.5</v>
      </c>
      <c r="N20" s="51">
        <f t="shared" si="2"/>
        <v>-56701.5</v>
      </c>
      <c r="O20" s="51">
        <f t="shared" si="3"/>
        <v>0</v>
      </c>
      <c r="P20" s="51">
        <f t="shared" si="8"/>
        <v>246190</v>
      </c>
      <c r="Q20" s="51">
        <f t="shared" si="4"/>
        <v>246190</v>
      </c>
      <c r="R20" s="51">
        <f t="shared" si="12"/>
        <v>0</v>
      </c>
      <c r="S20" s="51">
        <f t="shared" si="9"/>
        <v>246190</v>
      </c>
      <c r="T20" s="51">
        <f t="shared" si="5"/>
        <v>246190</v>
      </c>
      <c r="U20" s="51">
        <f t="shared" si="12"/>
        <v>0</v>
      </c>
      <c r="V20" s="52"/>
      <c r="W20" s="53"/>
      <c r="X20" s="53"/>
    </row>
    <row r="21" spans="1:24" ht="12.75" customHeight="1">
      <c r="A21" s="14"/>
      <c r="B21" s="13" t="s">
        <v>5</v>
      </c>
      <c r="C21" s="14"/>
      <c r="D21" s="51">
        <f t="shared" si="0"/>
        <v>0</v>
      </c>
      <c r="E21" s="54"/>
      <c r="F21" s="54"/>
      <c r="G21" s="51"/>
      <c r="H21" s="54"/>
      <c r="I21" s="54"/>
      <c r="J21" s="51">
        <f t="shared" si="7"/>
        <v>0</v>
      </c>
      <c r="K21" s="75"/>
      <c r="L21" s="75"/>
      <c r="M21" s="51">
        <f t="shared" si="1"/>
        <v>0</v>
      </c>
      <c r="N21" s="51">
        <f t="shared" si="2"/>
        <v>0</v>
      </c>
      <c r="O21" s="51">
        <f t="shared" si="3"/>
        <v>0</v>
      </c>
      <c r="P21" s="51">
        <f t="shared" si="8"/>
        <v>0</v>
      </c>
      <c r="Q21" s="51">
        <f t="shared" si="4"/>
        <v>0</v>
      </c>
      <c r="R21" s="47"/>
      <c r="S21" s="51">
        <f t="shared" si="9"/>
        <v>0</v>
      </c>
      <c r="T21" s="51">
        <f t="shared" si="5"/>
        <v>0</v>
      </c>
      <c r="U21" s="47"/>
      <c r="V21" s="55"/>
      <c r="W21" s="50"/>
      <c r="X21" s="50"/>
    </row>
    <row r="22" spans="1:24" s="4" customFormat="1" ht="25.5" customHeight="1">
      <c r="A22" s="6" t="s">
        <v>387</v>
      </c>
      <c r="B22" s="11" t="s">
        <v>388</v>
      </c>
      <c r="C22" s="6" t="s">
        <v>376</v>
      </c>
      <c r="D22" s="51">
        <f t="shared" si="0"/>
        <v>95047.8</v>
      </c>
      <c r="E22" s="51">
        <f aca="true" t="shared" si="13" ref="E22:U22">+E24+E25+E26+E27+E28+E29</f>
        <v>95047.8</v>
      </c>
      <c r="F22" s="51">
        <f t="shared" si="13"/>
        <v>0</v>
      </c>
      <c r="G22" s="51">
        <f t="shared" si="6"/>
        <v>115430.5</v>
      </c>
      <c r="H22" s="51">
        <f t="shared" si="13"/>
        <v>115430.5</v>
      </c>
      <c r="I22" s="51">
        <f t="shared" si="13"/>
        <v>0</v>
      </c>
      <c r="J22" s="51">
        <f t="shared" si="7"/>
        <v>105720</v>
      </c>
      <c r="K22" s="79">
        <f t="shared" si="13"/>
        <v>105720</v>
      </c>
      <c r="L22" s="79">
        <f t="shared" si="13"/>
        <v>0</v>
      </c>
      <c r="M22" s="51">
        <f t="shared" si="1"/>
        <v>-9710.5</v>
      </c>
      <c r="N22" s="51">
        <f t="shared" si="2"/>
        <v>-9710.5</v>
      </c>
      <c r="O22" s="51">
        <f t="shared" si="3"/>
        <v>0</v>
      </c>
      <c r="P22" s="51">
        <f t="shared" si="8"/>
        <v>105720</v>
      </c>
      <c r="Q22" s="51">
        <f t="shared" si="4"/>
        <v>105720</v>
      </c>
      <c r="R22" s="51">
        <f t="shared" si="13"/>
        <v>0</v>
      </c>
      <c r="S22" s="51">
        <f t="shared" si="9"/>
        <v>105720</v>
      </c>
      <c r="T22" s="51">
        <f t="shared" si="5"/>
        <v>105720</v>
      </c>
      <c r="U22" s="51">
        <f t="shared" si="13"/>
        <v>0</v>
      </c>
      <c r="V22" s="52"/>
      <c r="W22" s="53"/>
      <c r="X22" s="53"/>
    </row>
    <row r="23" spans="1:24" ht="12.75" customHeight="1">
      <c r="A23" s="14"/>
      <c r="B23" s="13" t="s">
        <v>199</v>
      </c>
      <c r="C23" s="14"/>
      <c r="D23" s="51">
        <f t="shared" si="0"/>
        <v>0</v>
      </c>
      <c r="E23" s="54"/>
      <c r="F23" s="54"/>
      <c r="G23" s="51"/>
      <c r="H23" s="54"/>
      <c r="I23" s="54"/>
      <c r="J23" s="51">
        <f t="shared" si="7"/>
        <v>0</v>
      </c>
      <c r="K23" s="74"/>
      <c r="L23" s="74"/>
      <c r="M23" s="51">
        <f t="shared" si="1"/>
        <v>0</v>
      </c>
      <c r="N23" s="51">
        <f t="shared" si="2"/>
        <v>0</v>
      </c>
      <c r="O23" s="51">
        <f t="shared" si="3"/>
        <v>0</v>
      </c>
      <c r="P23" s="51">
        <f t="shared" si="8"/>
        <v>0</v>
      </c>
      <c r="Q23" s="51">
        <f t="shared" si="4"/>
        <v>0</v>
      </c>
      <c r="R23" s="46"/>
      <c r="S23" s="51">
        <f t="shared" si="9"/>
        <v>0</v>
      </c>
      <c r="T23" s="51">
        <f t="shared" si="5"/>
        <v>0</v>
      </c>
      <c r="U23" s="46"/>
      <c r="V23" s="55"/>
      <c r="W23" s="50"/>
      <c r="X23" s="50"/>
    </row>
    <row r="24" spans="1:24" ht="12.75" customHeight="1">
      <c r="A24" s="14">
        <v>4211</v>
      </c>
      <c r="B24" s="40" t="s">
        <v>633</v>
      </c>
      <c r="C24" s="14">
        <v>4211</v>
      </c>
      <c r="D24" s="51">
        <f t="shared" si="0"/>
        <v>1054.7</v>
      </c>
      <c r="E24" s="54">
        <v>1054.7</v>
      </c>
      <c r="F24" s="54"/>
      <c r="G24" s="51">
        <f t="shared" si="6"/>
        <v>185</v>
      </c>
      <c r="H24" s="54">
        <v>185</v>
      </c>
      <c r="I24" s="54"/>
      <c r="J24" s="51">
        <f t="shared" si="7"/>
        <v>0</v>
      </c>
      <c r="K24" s="74"/>
      <c r="L24" s="74"/>
      <c r="M24" s="51">
        <f t="shared" si="1"/>
        <v>-185</v>
      </c>
      <c r="N24" s="51">
        <f t="shared" si="2"/>
        <v>-185</v>
      </c>
      <c r="O24" s="51">
        <f t="shared" si="3"/>
        <v>0</v>
      </c>
      <c r="P24" s="51">
        <f t="shared" si="8"/>
        <v>0</v>
      </c>
      <c r="Q24" s="51">
        <f t="shared" si="4"/>
        <v>0</v>
      </c>
      <c r="R24" s="46"/>
      <c r="S24" s="51">
        <f t="shared" si="9"/>
        <v>0</v>
      </c>
      <c r="T24" s="51">
        <f t="shared" si="5"/>
        <v>0</v>
      </c>
      <c r="U24" s="46"/>
      <c r="V24" s="55"/>
      <c r="W24" s="50"/>
      <c r="X24" s="50"/>
    </row>
    <row r="25" spans="1:24" ht="12.75" customHeight="1">
      <c r="A25" s="14" t="s">
        <v>389</v>
      </c>
      <c r="B25" s="13" t="s">
        <v>390</v>
      </c>
      <c r="C25" s="14" t="s">
        <v>389</v>
      </c>
      <c r="D25" s="51">
        <f t="shared" si="0"/>
        <v>42550</v>
      </c>
      <c r="E25" s="54">
        <v>42550</v>
      </c>
      <c r="F25" s="54"/>
      <c r="G25" s="51">
        <f t="shared" si="6"/>
        <v>55967.5</v>
      </c>
      <c r="H25" s="54">
        <v>55967.5</v>
      </c>
      <c r="I25" s="54"/>
      <c r="J25" s="51">
        <f t="shared" si="7"/>
        <v>52500</v>
      </c>
      <c r="K25" s="75">
        <v>52500</v>
      </c>
      <c r="L25" s="75"/>
      <c r="M25" s="51">
        <f t="shared" si="1"/>
        <v>-3467.5</v>
      </c>
      <c r="N25" s="51">
        <f t="shared" si="2"/>
        <v>-3467.5</v>
      </c>
      <c r="O25" s="51">
        <f t="shared" si="3"/>
        <v>0</v>
      </c>
      <c r="P25" s="51">
        <f t="shared" si="8"/>
        <v>52500</v>
      </c>
      <c r="Q25" s="51">
        <f t="shared" si="4"/>
        <v>52500</v>
      </c>
      <c r="R25" s="47"/>
      <c r="S25" s="51">
        <f t="shared" si="9"/>
        <v>52500</v>
      </c>
      <c r="T25" s="51">
        <f t="shared" si="5"/>
        <v>52500</v>
      </c>
      <c r="U25" s="47"/>
      <c r="V25" s="55"/>
      <c r="W25" s="50"/>
      <c r="X25" s="50"/>
    </row>
    <row r="26" spans="1:24" ht="12.75" customHeight="1">
      <c r="A26" s="14" t="s">
        <v>391</v>
      </c>
      <c r="B26" s="13" t="s">
        <v>392</v>
      </c>
      <c r="C26" s="14" t="s">
        <v>391</v>
      </c>
      <c r="D26" s="51">
        <f t="shared" si="0"/>
        <v>40237</v>
      </c>
      <c r="E26" s="54">
        <v>40237</v>
      </c>
      <c r="F26" s="54"/>
      <c r="G26" s="51">
        <f t="shared" si="6"/>
        <v>46018</v>
      </c>
      <c r="H26" s="54">
        <v>46018</v>
      </c>
      <c r="I26" s="54"/>
      <c r="J26" s="51">
        <f t="shared" si="7"/>
        <v>40000</v>
      </c>
      <c r="K26" s="75">
        <v>40000</v>
      </c>
      <c r="L26" s="75"/>
      <c r="M26" s="51">
        <f t="shared" si="1"/>
        <v>-6018</v>
      </c>
      <c r="N26" s="51">
        <f t="shared" si="2"/>
        <v>-6018</v>
      </c>
      <c r="O26" s="51">
        <f t="shared" si="3"/>
        <v>0</v>
      </c>
      <c r="P26" s="51">
        <f t="shared" si="8"/>
        <v>40000</v>
      </c>
      <c r="Q26" s="51">
        <f t="shared" si="4"/>
        <v>40000</v>
      </c>
      <c r="R26" s="47"/>
      <c r="S26" s="51">
        <f t="shared" si="9"/>
        <v>40000</v>
      </c>
      <c r="T26" s="51">
        <f t="shared" si="5"/>
        <v>40000</v>
      </c>
      <c r="U26" s="47"/>
      <c r="V26" s="55"/>
      <c r="W26" s="50"/>
      <c r="X26" s="50"/>
    </row>
    <row r="27" spans="1:24" ht="12.75" customHeight="1">
      <c r="A27" s="14" t="s">
        <v>393</v>
      </c>
      <c r="B27" s="13" t="s">
        <v>394</v>
      </c>
      <c r="C27" s="14" t="s">
        <v>393</v>
      </c>
      <c r="D27" s="51">
        <f t="shared" si="0"/>
        <v>6106.3</v>
      </c>
      <c r="E27" s="54">
        <v>6106.3</v>
      </c>
      <c r="F27" s="54"/>
      <c r="G27" s="51">
        <f t="shared" si="6"/>
        <v>9260</v>
      </c>
      <c r="H27" s="54">
        <v>9260</v>
      </c>
      <c r="I27" s="54"/>
      <c r="J27" s="51">
        <f t="shared" si="7"/>
        <v>10220</v>
      </c>
      <c r="K27" s="75">
        <v>10220</v>
      </c>
      <c r="L27" s="75"/>
      <c r="M27" s="51">
        <f t="shared" si="1"/>
        <v>960</v>
      </c>
      <c r="N27" s="51">
        <f t="shared" si="2"/>
        <v>960</v>
      </c>
      <c r="O27" s="51">
        <f t="shared" si="3"/>
        <v>0</v>
      </c>
      <c r="P27" s="51">
        <f t="shared" si="8"/>
        <v>10220</v>
      </c>
      <c r="Q27" s="51">
        <f t="shared" si="4"/>
        <v>10220</v>
      </c>
      <c r="R27" s="47"/>
      <c r="S27" s="51">
        <f t="shared" si="9"/>
        <v>10220</v>
      </c>
      <c r="T27" s="51">
        <f t="shared" si="5"/>
        <v>10220</v>
      </c>
      <c r="U27" s="47"/>
      <c r="V27" s="55"/>
      <c r="W27" s="50"/>
      <c r="X27" s="50"/>
    </row>
    <row r="28" spans="1:24" ht="12.75" customHeight="1">
      <c r="A28" s="14" t="s">
        <v>395</v>
      </c>
      <c r="B28" s="13" t="s">
        <v>396</v>
      </c>
      <c r="C28" s="14" t="s">
        <v>395</v>
      </c>
      <c r="D28" s="51">
        <f t="shared" si="0"/>
        <v>482</v>
      </c>
      <c r="E28" s="54">
        <v>482</v>
      </c>
      <c r="F28" s="54"/>
      <c r="G28" s="51">
        <f t="shared" si="6"/>
        <v>1000</v>
      </c>
      <c r="H28" s="54">
        <v>1000</v>
      </c>
      <c r="I28" s="54"/>
      <c r="J28" s="51">
        <f t="shared" si="7"/>
        <v>1000</v>
      </c>
      <c r="K28" s="74">
        <v>1000</v>
      </c>
      <c r="L28" s="74"/>
      <c r="M28" s="51">
        <f t="shared" si="1"/>
        <v>0</v>
      </c>
      <c r="N28" s="51">
        <f t="shared" si="2"/>
        <v>0</v>
      </c>
      <c r="O28" s="51">
        <f t="shared" si="3"/>
        <v>0</v>
      </c>
      <c r="P28" s="51">
        <f t="shared" si="8"/>
        <v>1000</v>
      </c>
      <c r="Q28" s="51">
        <f t="shared" si="4"/>
        <v>1000</v>
      </c>
      <c r="R28" s="46"/>
      <c r="S28" s="51">
        <f t="shared" si="9"/>
        <v>1000</v>
      </c>
      <c r="T28" s="51">
        <f t="shared" si="5"/>
        <v>1000</v>
      </c>
      <c r="U28" s="46"/>
      <c r="V28" s="55"/>
      <c r="W28" s="50"/>
      <c r="X28" s="50"/>
    </row>
    <row r="29" spans="1:24" ht="12.75" customHeight="1">
      <c r="A29" s="14" t="s">
        <v>397</v>
      </c>
      <c r="B29" s="13" t="s">
        <v>398</v>
      </c>
      <c r="C29" s="14" t="s">
        <v>397</v>
      </c>
      <c r="D29" s="51">
        <f t="shared" si="0"/>
        <v>4617.8</v>
      </c>
      <c r="E29" s="54">
        <v>4617.8</v>
      </c>
      <c r="F29" s="54"/>
      <c r="G29" s="51">
        <f t="shared" si="6"/>
        <v>3000</v>
      </c>
      <c r="H29" s="54">
        <v>3000</v>
      </c>
      <c r="I29" s="54"/>
      <c r="J29" s="51">
        <f t="shared" si="7"/>
        <v>2000</v>
      </c>
      <c r="K29" s="75">
        <v>2000</v>
      </c>
      <c r="L29" s="75"/>
      <c r="M29" s="51">
        <f t="shared" si="1"/>
        <v>-1000</v>
      </c>
      <c r="N29" s="51">
        <f t="shared" si="2"/>
        <v>-1000</v>
      </c>
      <c r="O29" s="51">
        <f t="shared" si="3"/>
        <v>0</v>
      </c>
      <c r="P29" s="51">
        <f t="shared" si="8"/>
        <v>2000</v>
      </c>
      <c r="Q29" s="51">
        <f t="shared" si="4"/>
        <v>2000</v>
      </c>
      <c r="R29" s="47"/>
      <c r="S29" s="51">
        <f t="shared" si="9"/>
        <v>2000</v>
      </c>
      <c r="T29" s="51">
        <f t="shared" si="5"/>
        <v>2000</v>
      </c>
      <c r="U29" s="47"/>
      <c r="V29" s="55"/>
      <c r="W29" s="50"/>
      <c r="X29" s="50"/>
    </row>
    <row r="30" spans="1:24" s="4" customFormat="1" ht="25.5" customHeight="1">
      <c r="A30" s="6" t="s">
        <v>399</v>
      </c>
      <c r="B30" s="11" t="s">
        <v>400</v>
      </c>
      <c r="C30" s="6" t="s">
        <v>376</v>
      </c>
      <c r="D30" s="51">
        <f t="shared" si="0"/>
        <v>14.8</v>
      </c>
      <c r="E30" s="51">
        <f aca="true" t="shared" si="14" ref="E30:U30">+E32+E33</f>
        <v>14.8</v>
      </c>
      <c r="F30" s="51">
        <f t="shared" si="14"/>
        <v>0</v>
      </c>
      <c r="G30" s="51">
        <f t="shared" si="6"/>
        <v>6000</v>
      </c>
      <c r="H30" s="51">
        <f t="shared" si="14"/>
        <v>6000</v>
      </c>
      <c r="I30" s="51">
        <f t="shared" si="14"/>
        <v>0</v>
      </c>
      <c r="J30" s="51">
        <f t="shared" si="7"/>
        <v>4000</v>
      </c>
      <c r="K30" s="79">
        <f t="shared" si="14"/>
        <v>4000</v>
      </c>
      <c r="L30" s="79">
        <f t="shared" si="14"/>
        <v>0</v>
      </c>
      <c r="M30" s="51">
        <f t="shared" si="1"/>
        <v>-2000</v>
      </c>
      <c r="N30" s="51">
        <f t="shared" si="2"/>
        <v>-2000</v>
      </c>
      <c r="O30" s="51">
        <f t="shared" si="3"/>
        <v>0</v>
      </c>
      <c r="P30" s="51">
        <f t="shared" si="8"/>
        <v>4000</v>
      </c>
      <c r="Q30" s="51">
        <f t="shared" si="4"/>
        <v>4000</v>
      </c>
      <c r="R30" s="51">
        <f t="shared" si="14"/>
        <v>0</v>
      </c>
      <c r="S30" s="51">
        <f t="shared" si="9"/>
        <v>4000</v>
      </c>
      <c r="T30" s="51">
        <f t="shared" si="5"/>
        <v>4000</v>
      </c>
      <c r="U30" s="51">
        <f t="shared" si="14"/>
        <v>0</v>
      </c>
      <c r="V30" s="52"/>
      <c r="W30" s="53"/>
      <c r="X30" s="53"/>
    </row>
    <row r="31" spans="1:24" ht="12.75" customHeight="1">
      <c r="A31" s="14"/>
      <c r="B31" s="13" t="s">
        <v>199</v>
      </c>
      <c r="C31" s="14"/>
      <c r="D31" s="51">
        <f t="shared" si="0"/>
        <v>0</v>
      </c>
      <c r="E31" s="54"/>
      <c r="F31" s="54"/>
      <c r="G31" s="51"/>
      <c r="H31" s="54"/>
      <c r="I31" s="54"/>
      <c r="J31" s="51">
        <f t="shared" si="7"/>
        <v>0</v>
      </c>
      <c r="K31" s="75"/>
      <c r="L31" s="75"/>
      <c r="M31" s="51">
        <f t="shared" si="1"/>
        <v>0</v>
      </c>
      <c r="N31" s="51">
        <f t="shared" si="2"/>
        <v>0</v>
      </c>
      <c r="O31" s="51">
        <f t="shared" si="3"/>
        <v>0</v>
      </c>
      <c r="P31" s="51">
        <f t="shared" si="8"/>
        <v>0</v>
      </c>
      <c r="Q31" s="51">
        <f t="shared" si="4"/>
        <v>0</v>
      </c>
      <c r="R31" s="47"/>
      <c r="S31" s="51">
        <f t="shared" si="9"/>
        <v>0</v>
      </c>
      <c r="T31" s="51">
        <f t="shared" si="5"/>
        <v>0</v>
      </c>
      <c r="U31" s="47"/>
      <c r="V31" s="55"/>
      <c r="W31" s="50"/>
      <c r="X31" s="50"/>
    </row>
    <row r="32" spans="1:24" ht="12.75" customHeight="1">
      <c r="A32" s="14" t="s">
        <v>401</v>
      </c>
      <c r="B32" s="13" t="s">
        <v>402</v>
      </c>
      <c r="C32" s="14" t="s">
        <v>401</v>
      </c>
      <c r="D32" s="51">
        <f t="shared" si="0"/>
        <v>14.8</v>
      </c>
      <c r="E32" s="54">
        <v>14.8</v>
      </c>
      <c r="F32" s="54"/>
      <c r="G32" s="51">
        <f t="shared" si="6"/>
        <v>900</v>
      </c>
      <c r="H32" s="54">
        <v>900</v>
      </c>
      <c r="I32" s="54"/>
      <c r="J32" s="51">
        <f t="shared" si="7"/>
        <v>1000</v>
      </c>
      <c r="K32" s="74">
        <v>1000</v>
      </c>
      <c r="L32" s="74"/>
      <c r="M32" s="51">
        <f t="shared" si="1"/>
        <v>100</v>
      </c>
      <c r="N32" s="51">
        <f t="shared" si="2"/>
        <v>100</v>
      </c>
      <c r="O32" s="51">
        <f t="shared" si="3"/>
        <v>0</v>
      </c>
      <c r="P32" s="51">
        <f t="shared" si="8"/>
        <v>1000</v>
      </c>
      <c r="Q32" s="51">
        <f t="shared" si="4"/>
        <v>1000</v>
      </c>
      <c r="R32" s="46"/>
      <c r="S32" s="51">
        <f t="shared" si="9"/>
        <v>1000</v>
      </c>
      <c r="T32" s="51">
        <f t="shared" si="5"/>
        <v>1000</v>
      </c>
      <c r="U32" s="46"/>
      <c r="V32" s="55"/>
      <c r="W32" s="50"/>
      <c r="X32" s="50"/>
    </row>
    <row r="33" spans="1:24" ht="12.75" customHeight="1">
      <c r="A33" s="14" t="s">
        <v>403</v>
      </c>
      <c r="B33" s="13" t="s">
        <v>404</v>
      </c>
      <c r="C33" s="14" t="s">
        <v>403</v>
      </c>
      <c r="D33" s="51">
        <f t="shared" si="0"/>
        <v>0</v>
      </c>
      <c r="E33" s="54"/>
      <c r="F33" s="54"/>
      <c r="G33" s="51">
        <f t="shared" si="6"/>
        <v>5100</v>
      </c>
      <c r="H33" s="54">
        <v>5100</v>
      </c>
      <c r="I33" s="54"/>
      <c r="J33" s="51">
        <f t="shared" si="7"/>
        <v>3000</v>
      </c>
      <c r="K33" s="75">
        <v>3000</v>
      </c>
      <c r="L33" s="75"/>
      <c r="M33" s="51">
        <f t="shared" si="1"/>
        <v>-2100</v>
      </c>
      <c r="N33" s="51">
        <f t="shared" si="2"/>
        <v>-2100</v>
      </c>
      <c r="O33" s="51">
        <f t="shared" si="3"/>
        <v>0</v>
      </c>
      <c r="P33" s="51">
        <f t="shared" si="8"/>
        <v>3000</v>
      </c>
      <c r="Q33" s="51">
        <f t="shared" si="4"/>
        <v>3000</v>
      </c>
      <c r="R33" s="47"/>
      <c r="S33" s="51">
        <f t="shared" si="9"/>
        <v>3000</v>
      </c>
      <c r="T33" s="51">
        <f t="shared" si="5"/>
        <v>3000</v>
      </c>
      <c r="U33" s="47"/>
      <c r="V33" s="55"/>
      <c r="W33" s="50"/>
      <c r="X33" s="50"/>
    </row>
    <row r="34" spans="1:24" s="4" customFormat="1" ht="25.5" customHeight="1">
      <c r="A34" s="6" t="s">
        <v>405</v>
      </c>
      <c r="B34" s="11" t="s">
        <v>406</v>
      </c>
      <c r="C34" s="6" t="s">
        <v>376</v>
      </c>
      <c r="D34" s="51">
        <f t="shared" si="0"/>
        <v>48742.7</v>
      </c>
      <c r="E34" s="51">
        <f aca="true" t="shared" si="15" ref="E34:U34">+E36+E37+E38+E39+E40+E42+E43+E41</f>
        <v>48742.7</v>
      </c>
      <c r="F34" s="51">
        <f t="shared" si="15"/>
        <v>0</v>
      </c>
      <c r="G34" s="51">
        <f t="shared" si="6"/>
        <v>94600</v>
      </c>
      <c r="H34" s="51">
        <f t="shared" si="15"/>
        <v>94600</v>
      </c>
      <c r="I34" s="51">
        <f t="shared" si="15"/>
        <v>0</v>
      </c>
      <c r="J34" s="51">
        <f t="shared" si="7"/>
        <v>62300</v>
      </c>
      <c r="K34" s="79">
        <f t="shared" si="15"/>
        <v>62300</v>
      </c>
      <c r="L34" s="79">
        <f t="shared" si="15"/>
        <v>0</v>
      </c>
      <c r="M34" s="51">
        <f t="shared" si="1"/>
        <v>-32300</v>
      </c>
      <c r="N34" s="51">
        <f t="shared" si="2"/>
        <v>-32300</v>
      </c>
      <c r="O34" s="51">
        <f t="shared" si="3"/>
        <v>0</v>
      </c>
      <c r="P34" s="51">
        <f t="shared" si="8"/>
        <v>62300</v>
      </c>
      <c r="Q34" s="51">
        <f t="shared" si="4"/>
        <v>62300</v>
      </c>
      <c r="R34" s="51">
        <f t="shared" si="15"/>
        <v>0</v>
      </c>
      <c r="S34" s="51">
        <f t="shared" si="9"/>
        <v>62300</v>
      </c>
      <c r="T34" s="51">
        <f t="shared" si="5"/>
        <v>62300</v>
      </c>
      <c r="U34" s="51">
        <f t="shared" si="15"/>
        <v>0</v>
      </c>
      <c r="V34" s="52"/>
      <c r="W34" s="53"/>
      <c r="X34" s="53"/>
    </row>
    <row r="35" spans="1:24" ht="12.75" customHeight="1">
      <c r="A35" s="14"/>
      <c r="B35" s="13" t="s">
        <v>199</v>
      </c>
      <c r="C35" s="14"/>
      <c r="D35" s="51">
        <f t="shared" si="0"/>
        <v>0</v>
      </c>
      <c r="E35" s="54"/>
      <c r="F35" s="54"/>
      <c r="G35" s="51"/>
      <c r="H35" s="54"/>
      <c r="I35" s="54"/>
      <c r="J35" s="51">
        <f t="shared" si="7"/>
        <v>0</v>
      </c>
      <c r="K35" s="75"/>
      <c r="L35" s="75"/>
      <c r="M35" s="51">
        <f t="shared" si="1"/>
        <v>0</v>
      </c>
      <c r="N35" s="51">
        <f t="shared" si="2"/>
        <v>0</v>
      </c>
      <c r="O35" s="51">
        <f t="shared" si="3"/>
        <v>0</v>
      </c>
      <c r="P35" s="51">
        <f t="shared" si="8"/>
        <v>0</v>
      </c>
      <c r="Q35" s="51">
        <f t="shared" si="4"/>
        <v>0</v>
      </c>
      <c r="R35" s="47"/>
      <c r="S35" s="51">
        <f t="shared" si="9"/>
        <v>0</v>
      </c>
      <c r="T35" s="51">
        <f t="shared" si="5"/>
        <v>0</v>
      </c>
      <c r="U35" s="47"/>
      <c r="V35" s="55"/>
      <c r="W35" s="50"/>
      <c r="X35" s="50"/>
    </row>
    <row r="36" spans="1:24" ht="12.75" customHeight="1">
      <c r="A36" s="14" t="s">
        <v>407</v>
      </c>
      <c r="B36" s="13" t="s">
        <v>408</v>
      </c>
      <c r="C36" s="14" t="s">
        <v>407</v>
      </c>
      <c r="D36" s="51">
        <f t="shared" si="0"/>
        <v>1980</v>
      </c>
      <c r="E36" s="54">
        <v>1980</v>
      </c>
      <c r="F36" s="54"/>
      <c r="G36" s="51">
        <f t="shared" si="6"/>
        <v>0</v>
      </c>
      <c r="H36" s="54"/>
      <c r="I36" s="54"/>
      <c r="J36" s="51">
        <f t="shared" si="7"/>
        <v>0</v>
      </c>
      <c r="K36" s="75"/>
      <c r="L36" s="75"/>
      <c r="M36" s="51">
        <f t="shared" si="1"/>
        <v>0</v>
      </c>
      <c r="N36" s="51">
        <f t="shared" si="2"/>
        <v>0</v>
      </c>
      <c r="O36" s="51">
        <f t="shared" si="3"/>
        <v>0</v>
      </c>
      <c r="P36" s="51">
        <f t="shared" si="8"/>
        <v>0</v>
      </c>
      <c r="Q36" s="51">
        <f t="shared" si="4"/>
        <v>0</v>
      </c>
      <c r="R36" s="47"/>
      <c r="S36" s="51">
        <f t="shared" si="9"/>
        <v>0</v>
      </c>
      <c r="T36" s="51">
        <f t="shared" si="5"/>
        <v>0</v>
      </c>
      <c r="U36" s="47"/>
      <c r="V36" s="55"/>
      <c r="W36" s="50"/>
      <c r="X36" s="50"/>
    </row>
    <row r="37" spans="1:24" ht="12.75" customHeight="1">
      <c r="A37" s="14" t="s">
        <v>409</v>
      </c>
      <c r="B37" s="13" t="s">
        <v>410</v>
      </c>
      <c r="C37" s="14" t="s">
        <v>409</v>
      </c>
      <c r="D37" s="51">
        <f t="shared" si="0"/>
        <v>3242.4</v>
      </c>
      <c r="E37" s="54">
        <v>3242.4</v>
      </c>
      <c r="F37" s="54"/>
      <c r="G37" s="51">
        <f t="shared" si="6"/>
        <v>8000</v>
      </c>
      <c r="H37" s="54">
        <v>8000</v>
      </c>
      <c r="I37" s="54"/>
      <c r="J37" s="51">
        <f t="shared" si="7"/>
        <v>7000</v>
      </c>
      <c r="K37" s="74">
        <v>7000</v>
      </c>
      <c r="L37" s="74"/>
      <c r="M37" s="51">
        <f t="shared" si="1"/>
        <v>-1000</v>
      </c>
      <c r="N37" s="51">
        <f t="shared" si="2"/>
        <v>-1000</v>
      </c>
      <c r="O37" s="51">
        <f t="shared" si="3"/>
        <v>0</v>
      </c>
      <c r="P37" s="51">
        <f t="shared" si="8"/>
        <v>7000</v>
      </c>
      <c r="Q37" s="51">
        <f t="shared" si="4"/>
        <v>7000</v>
      </c>
      <c r="R37" s="46"/>
      <c r="S37" s="51">
        <f t="shared" si="9"/>
        <v>7000</v>
      </c>
      <c r="T37" s="51">
        <f t="shared" si="5"/>
        <v>7000</v>
      </c>
      <c r="U37" s="46"/>
      <c r="V37" s="55"/>
      <c r="W37" s="50"/>
      <c r="X37" s="50"/>
    </row>
    <row r="38" spans="1:24" ht="12.75" customHeight="1">
      <c r="A38" s="14" t="s">
        <v>411</v>
      </c>
      <c r="B38" s="13" t="s">
        <v>412</v>
      </c>
      <c r="C38" s="14" t="s">
        <v>411</v>
      </c>
      <c r="D38" s="51">
        <f t="shared" si="0"/>
        <v>877.8</v>
      </c>
      <c r="E38" s="54">
        <v>877.8</v>
      </c>
      <c r="F38" s="54"/>
      <c r="G38" s="51">
        <f t="shared" si="6"/>
        <v>1000</v>
      </c>
      <c r="H38" s="54">
        <v>1000</v>
      </c>
      <c r="I38" s="54"/>
      <c r="J38" s="51">
        <f t="shared" si="7"/>
        <v>1000</v>
      </c>
      <c r="K38" s="75">
        <v>1000</v>
      </c>
      <c r="L38" s="75"/>
      <c r="M38" s="51">
        <f t="shared" si="1"/>
        <v>0</v>
      </c>
      <c r="N38" s="51">
        <f t="shared" si="2"/>
        <v>0</v>
      </c>
      <c r="O38" s="51">
        <f t="shared" si="3"/>
        <v>0</v>
      </c>
      <c r="P38" s="51">
        <f t="shared" si="8"/>
        <v>1000</v>
      </c>
      <c r="Q38" s="51">
        <f t="shared" si="4"/>
        <v>1000</v>
      </c>
      <c r="R38" s="47"/>
      <c r="S38" s="51">
        <f t="shared" si="9"/>
        <v>1000</v>
      </c>
      <c r="T38" s="51">
        <f t="shared" si="5"/>
        <v>1000</v>
      </c>
      <c r="U38" s="47"/>
      <c r="V38" s="55"/>
      <c r="W38" s="50"/>
      <c r="X38" s="50"/>
    </row>
    <row r="39" spans="1:24" ht="12.75" customHeight="1">
      <c r="A39" s="14" t="s">
        <v>413</v>
      </c>
      <c r="B39" s="13" t="s">
        <v>414</v>
      </c>
      <c r="C39" s="14" t="s">
        <v>413</v>
      </c>
      <c r="D39" s="51">
        <f t="shared" si="0"/>
        <v>4027.2</v>
      </c>
      <c r="E39" s="54">
        <v>4027.2</v>
      </c>
      <c r="F39" s="54"/>
      <c r="G39" s="51">
        <f t="shared" si="6"/>
        <v>6000</v>
      </c>
      <c r="H39" s="54">
        <v>6000</v>
      </c>
      <c r="I39" s="54"/>
      <c r="J39" s="51">
        <f t="shared" si="7"/>
        <v>5000</v>
      </c>
      <c r="K39" s="75">
        <v>5000</v>
      </c>
      <c r="L39" s="75"/>
      <c r="M39" s="51">
        <f t="shared" si="1"/>
        <v>-1000</v>
      </c>
      <c r="N39" s="51">
        <f t="shared" si="2"/>
        <v>-1000</v>
      </c>
      <c r="O39" s="51">
        <f t="shared" si="3"/>
        <v>0</v>
      </c>
      <c r="P39" s="51">
        <f t="shared" si="8"/>
        <v>5000</v>
      </c>
      <c r="Q39" s="51">
        <f t="shared" si="4"/>
        <v>5000</v>
      </c>
      <c r="R39" s="47"/>
      <c r="S39" s="51">
        <f t="shared" si="9"/>
        <v>5000</v>
      </c>
      <c r="T39" s="51">
        <f t="shared" si="5"/>
        <v>5000</v>
      </c>
      <c r="U39" s="47"/>
      <c r="V39" s="55"/>
      <c r="W39" s="50"/>
      <c r="X39" s="50"/>
    </row>
    <row r="40" spans="1:24" ht="12.75" customHeight="1">
      <c r="A40" s="14" t="s">
        <v>415</v>
      </c>
      <c r="B40" s="13" t="s">
        <v>416</v>
      </c>
      <c r="C40" s="14" t="s">
        <v>415</v>
      </c>
      <c r="D40" s="51">
        <f t="shared" si="0"/>
        <v>6722.9</v>
      </c>
      <c r="E40" s="54">
        <v>6722.9</v>
      </c>
      <c r="F40" s="54"/>
      <c r="G40" s="51">
        <f t="shared" si="6"/>
        <v>20000</v>
      </c>
      <c r="H40" s="54">
        <v>20000</v>
      </c>
      <c r="I40" s="54"/>
      <c r="J40" s="51">
        <f t="shared" si="7"/>
        <v>2000</v>
      </c>
      <c r="K40" s="74">
        <v>2000</v>
      </c>
      <c r="L40" s="74"/>
      <c r="M40" s="51">
        <f t="shared" si="1"/>
        <v>-18000</v>
      </c>
      <c r="N40" s="51">
        <f t="shared" si="2"/>
        <v>-18000</v>
      </c>
      <c r="O40" s="51">
        <f t="shared" si="3"/>
        <v>0</v>
      </c>
      <c r="P40" s="51">
        <f t="shared" si="8"/>
        <v>2000</v>
      </c>
      <c r="Q40" s="51">
        <f t="shared" si="4"/>
        <v>2000</v>
      </c>
      <c r="R40" s="46"/>
      <c r="S40" s="51">
        <f t="shared" si="9"/>
        <v>2000</v>
      </c>
      <c r="T40" s="51">
        <f t="shared" si="5"/>
        <v>2000</v>
      </c>
      <c r="U40" s="46"/>
      <c r="V40" s="55"/>
      <c r="W40" s="50"/>
      <c r="X40" s="50"/>
    </row>
    <row r="41" spans="1:24" ht="12.75" customHeight="1">
      <c r="A41" s="14"/>
      <c r="B41" s="13"/>
      <c r="C41" s="14">
        <v>4236</v>
      </c>
      <c r="D41" s="51">
        <f t="shared" si="0"/>
        <v>330</v>
      </c>
      <c r="E41" s="54">
        <v>330</v>
      </c>
      <c r="F41" s="54"/>
      <c r="G41" s="51">
        <f t="shared" si="6"/>
        <v>1000</v>
      </c>
      <c r="H41" s="54">
        <v>1000</v>
      </c>
      <c r="I41" s="54"/>
      <c r="J41" s="51">
        <f t="shared" si="7"/>
        <v>1000</v>
      </c>
      <c r="K41" s="74">
        <v>1000</v>
      </c>
      <c r="L41" s="74"/>
      <c r="M41" s="51">
        <f t="shared" si="1"/>
        <v>0</v>
      </c>
      <c r="N41" s="51">
        <f t="shared" si="2"/>
        <v>0</v>
      </c>
      <c r="O41" s="51">
        <f t="shared" si="3"/>
        <v>0</v>
      </c>
      <c r="P41" s="51">
        <f t="shared" si="8"/>
        <v>1000</v>
      </c>
      <c r="Q41" s="51">
        <f t="shared" si="4"/>
        <v>1000</v>
      </c>
      <c r="R41" s="46"/>
      <c r="S41" s="51">
        <f t="shared" si="9"/>
        <v>1000</v>
      </c>
      <c r="T41" s="51">
        <f t="shared" si="5"/>
        <v>1000</v>
      </c>
      <c r="U41" s="46"/>
      <c r="V41" s="55"/>
      <c r="W41" s="50"/>
      <c r="X41" s="50"/>
    </row>
    <row r="42" spans="1:24" ht="12.75" customHeight="1">
      <c r="A42" s="14" t="s">
        <v>417</v>
      </c>
      <c r="B42" s="13" t="s">
        <v>418</v>
      </c>
      <c r="C42" s="14" t="s">
        <v>417</v>
      </c>
      <c r="D42" s="51">
        <f t="shared" si="0"/>
        <v>582</v>
      </c>
      <c r="E42" s="54">
        <v>582</v>
      </c>
      <c r="F42" s="54"/>
      <c r="G42" s="51">
        <f t="shared" si="6"/>
        <v>5000</v>
      </c>
      <c r="H42" s="54">
        <v>5000</v>
      </c>
      <c r="I42" s="54"/>
      <c r="J42" s="51">
        <f t="shared" si="7"/>
        <v>2000</v>
      </c>
      <c r="K42" s="75">
        <v>2000</v>
      </c>
      <c r="L42" s="75"/>
      <c r="M42" s="51">
        <f t="shared" si="1"/>
        <v>-3000</v>
      </c>
      <c r="N42" s="51">
        <f t="shared" si="2"/>
        <v>-3000</v>
      </c>
      <c r="O42" s="51">
        <f t="shared" si="3"/>
        <v>0</v>
      </c>
      <c r="P42" s="51">
        <f t="shared" si="8"/>
        <v>2000</v>
      </c>
      <c r="Q42" s="51">
        <f t="shared" si="4"/>
        <v>2000</v>
      </c>
      <c r="R42" s="47"/>
      <c r="S42" s="51">
        <f t="shared" si="9"/>
        <v>2000</v>
      </c>
      <c r="T42" s="51">
        <f t="shared" si="5"/>
        <v>2000</v>
      </c>
      <c r="U42" s="47"/>
      <c r="V42" s="55"/>
      <c r="W42" s="50"/>
      <c r="X42" s="50"/>
    </row>
    <row r="43" spans="1:24" ht="12.75" customHeight="1">
      <c r="A43" s="14" t="s">
        <v>419</v>
      </c>
      <c r="B43" s="13" t="s">
        <v>420</v>
      </c>
      <c r="C43" s="14" t="s">
        <v>421</v>
      </c>
      <c r="D43" s="51">
        <f t="shared" si="0"/>
        <v>30980.4</v>
      </c>
      <c r="E43" s="54">
        <v>30980.4</v>
      </c>
      <c r="F43" s="54"/>
      <c r="G43" s="51">
        <f t="shared" si="6"/>
        <v>53600</v>
      </c>
      <c r="H43" s="54">
        <v>53600</v>
      </c>
      <c r="I43" s="54"/>
      <c r="J43" s="51">
        <f t="shared" si="7"/>
        <v>44300</v>
      </c>
      <c r="K43" s="75">
        <v>44300</v>
      </c>
      <c r="L43" s="75"/>
      <c r="M43" s="51">
        <f t="shared" si="1"/>
        <v>-9300</v>
      </c>
      <c r="N43" s="51">
        <f t="shared" si="2"/>
        <v>-9300</v>
      </c>
      <c r="O43" s="51">
        <f t="shared" si="3"/>
        <v>0</v>
      </c>
      <c r="P43" s="51">
        <f t="shared" si="8"/>
        <v>44300</v>
      </c>
      <c r="Q43" s="51">
        <f t="shared" si="4"/>
        <v>44300</v>
      </c>
      <c r="R43" s="47"/>
      <c r="S43" s="51">
        <f t="shared" si="9"/>
        <v>44300</v>
      </c>
      <c r="T43" s="51">
        <f t="shared" si="5"/>
        <v>44300</v>
      </c>
      <c r="U43" s="47"/>
      <c r="V43" s="55"/>
      <c r="W43" s="50"/>
      <c r="X43" s="50"/>
    </row>
    <row r="44" spans="1:24" s="4" customFormat="1" ht="25.5" customHeight="1">
      <c r="A44" s="6" t="s">
        <v>422</v>
      </c>
      <c r="B44" s="11" t="s">
        <v>423</v>
      </c>
      <c r="C44" s="6" t="s">
        <v>376</v>
      </c>
      <c r="D44" s="51">
        <f t="shared" si="0"/>
        <v>17227.8</v>
      </c>
      <c r="E44" s="51">
        <f aca="true" t="shared" si="16" ref="E44:U44">+E46</f>
        <v>17227.8</v>
      </c>
      <c r="F44" s="51">
        <f t="shared" si="16"/>
        <v>0</v>
      </c>
      <c r="G44" s="51">
        <f t="shared" si="6"/>
        <v>15631</v>
      </c>
      <c r="H44" s="51">
        <f t="shared" si="16"/>
        <v>15631</v>
      </c>
      <c r="I44" s="51">
        <f t="shared" si="16"/>
        <v>0</v>
      </c>
      <c r="J44" s="51">
        <f t="shared" si="7"/>
        <v>10800</v>
      </c>
      <c r="K44" s="79">
        <f t="shared" si="16"/>
        <v>10800</v>
      </c>
      <c r="L44" s="79">
        <f t="shared" si="16"/>
        <v>0</v>
      </c>
      <c r="M44" s="51">
        <f t="shared" si="1"/>
        <v>-4831</v>
      </c>
      <c r="N44" s="51">
        <f t="shared" si="2"/>
        <v>-4831</v>
      </c>
      <c r="O44" s="51">
        <f t="shared" si="3"/>
        <v>0</v>
      </c>
      <c r="P44" s="51">
        <f t="shared" si="8"/>
        <v>10800</v>
      </c>
      <c r="Q44" s="51">
        <f t="shared" si="4"/>
        <v>10800</v>
      </c>
      <c r="R44" s="51">
        <f t="shared" si="16"/>
        <v>0</v>
      </c>
      <c r="S44" s="51">
        <f t="shared" si="9"/>
        <v>10800</v>
      </c>
      <c r="T44" s="51">
        <f t="shared" si="5"/>
        <v>10800</v>
      </c>
      <c r="U44" s="51">
        <f t="shared" si="16"/>
        <v>0</v>
      </c>
      <c r="V44" s="52"/>
      <c r="W44" s="53"/>
      <c r="X44" s="53"/>
    </row>
    <row r="45" spans="1:24" ht="12.75" customHeight="1">
      <c r="A45" s="14"/>
      <c r="B45" s="13" t="s">
        <v>199</v>
      </c>
      <c r="C45" s="14"/>
      <c r="D45" s="51">
        <f t="shared" si="0"/>
        <v>0</v>
      </c>
      <c r="E45" s="54"/>
      <c r="F45" s="54"/>
      <c r="G45" s="51"/>
      <c r="H45" s="54"/>
      <c r="I45" s="54"/>
      <c r="J45" s="51">
        <f t="shared" si="7"/>
        <v>0</v>
      </c>
      <c r="K45" s="74"/>
      <c r="L45" s="74"/>
      <c r="M45" s="51">
        <f t="shared" si="1"/>
        <v>0</v>
      </c>
      <c r="N45" s="51">
        <f t="shared" si="2"/>
        <v>0</v>
      </c>
      <c r="O45" s="51">
        <f t="shared" si="3"/>
        <v>0</v>
      </c>
      <c r="P45" s="51">
        <f t="shared" si="8"/>
        <v>0</v>
      </c>
      <c r="Q45" s="51">
        <f t="shared" si="4"/>
        <v>0</v>
      </c>
      <c r="R45" s="46"/>
      <c r="S45" s="51">
        <f t="shared" si="9"/>
        <v>0</v>
      </c>
      <c r="T45" s="51">
        <f t="shared" si="5"/>
        <v>0</v>
      </c>
      <c r="U45" s="46"/>
      <c r="V45" s="55"/>
      <c r="W45" s="50"/>
      <c r="X45" s="50"/>
    </row>
    <row r="46" spans="1:24" ht="12.75" customHeight="1">
      <c r="A46" s="14" t="s">
        <v>424</v>
      </c>
      <c r="B46" s="13" t="s">
        <v>425</v>
      </c>
      <c r="C46" s="14" t="s">
        <v>424</v>
      </c>
      <c r="D46" s="51">
        <f t="shared" si="0"/>
        <v>17227.8</v>
      </c>
      <c r="E46" s="54">
        <v>17227.8</v>
      </c>
      <c r="F46" s="54"/>
      <c r="G46" s="51">
        <f t="shared" si="6"/>
        <v>15631</v>
      </c>
      <c r="H46" s="54">
        <v>15631</v>
      </c>
      <c r="I46" s="54"/>
      <c r="J46" s="51">
        <f t="shared" si="7"/>
        <v>10800</v>
      </c>
      <c r="K46" s="75">
        <v>10800</v>
      </c>
      <c r="L46" s="75"/>
      <c r="M46" s="51">
        <f t="shared" si="1"/>
        <v>-4831</v>
      </c>
      <c r="N46" s="51">
        <f t="shared" si="2"/>
        <v>-4831</v>
      </c>
      <c r="O46" s="51">
        <f t="shared" si="3"/>
        <v>0</v>
      </c>
      <c r="P46" s="51">
        <f t="shared" si="8"/>
        <v>10800</v>
      </c>
      <c r="Q46" s="51">
        <f t="shared" si="4"/>
        <v>10800</v>
      </c>
      <c r="R46" s="47"/>
      <c r="S46" s="51">
        <f t="shared" si="9"/>
        <v>10800</v>
      </c>
      <c r="T46" s="51">
        <f t="shared" si="5"/>
        <v>10800</v>
      </c>
      <c r="U46" s="47"/>
      <c r="V46" s="55"/>
      <c r="W46" s="50"/>
      <c r="X46" s="50"/>
    </row>
    <row r="47" spans="1:24" s="4" customFormat="1" ht="25.5" customHeight="1">
      <c r="A47" s="6" t="s">
        <v>426</v>
      </c>
      <c r="B47" s="11" t="s">
        <v>427</v>
      </c>
      <c r="C47" s="6" t="s">
        <v>376</v>
      </c>
      <c r="D47" s="51">
        <f t="shared" si="0"/>
        <v>36644.7</v>
      </c>
      <c r="E47" s="51">
        <f aca="true" t="shared" si="17" ref="E47:U47">+E49+E50</f>
        <v>36644.7</v>
      </c>
      <c r="F47" s="51">
        <f t="shared" si="17"/>
        <v>0</v>
      </c>
      <c r="G47" s="51">
        <f t="shared" si="6"/>
        <v>10090</v>
      </c>
      <c r="H47" s="51">
        <f t="shared" si="17"/>
        <v>10090</v>
      </c>
      <c r="I47" s="51">
        <f t="shared" si="17"/>
        <v>0</v>
      </c>
      <c r="J47" s="51">
        <f t="shared" si="7"/>
        <v>5000</v>
      </c>
      <c r="K47" s="79">
        <f t="shared" si="17"/>
        <v>5000</v>
      </c>
      <c r="L47" s="79">
        <f t="shared" si="17"/>
        <v>0</v>
      </c>
      <c r="M47" s="51">
        <f t="shared" si="1"/>
        <v>-5090</v>
      </c>
      <c r="N47" s="51">
        <f t="shared" si="2"/>
        <v>-5090</v>
      </c>
      <c r="O47" s="51">
        <f t="shared" si="3"/>
        <v>0</v>
      </c>
      <c r="P47" s="51">
        <f t="shared" si="8"/>
        <v>5000</v>
      </c>
      <c r="Q47" s="51">
        <f t="shared" si="4"/>
        <v>5000</v>
      </c>
      <c r="R47" s="51">
        <f t="shared" si="17"/>
        <v>0</v>
      </c>
      <c r="S47" s="51">
        <f t="shared" si="9"/>
        <v>5000</v>
      </c>
      <c r="T47" s="51">
        <f t="shared" si="5"/>
        <v>5000</v>
      </c>
      <c r="U47" s="51">
        <f t="shared" si="17"/>
        <v>0</v>
      </c>
      <c r="V47" s="52"/>
      <c r="W47" s="53"/>
      <c r="X47" s="53"/>
    </row>
    <row r="48" spans="1:24" ht="12.75" customHeight="1">
      <c r="A48" s="14"/>
      <c r="B48" s="13" t="s">
        <v>199</v>
      </c>
      <c r="C48" s="14"/>
      <c r="D48" s="51">
        <f t="shared" si="0"/>
        <v>0</v>
      </c>
      <c r="E48" s="54"/>
      <c r="F48" s="54"/>
      <c r="G48" s="51"/>
      <c r="H48" s="54"/>
      <c r="I48" s="54"/>
      <c r="J48" s="51">
        <f t="shared" si="7"/>
        <v>0</v>
      </c>
      <c r="K48" s="74"/>
      <c r="L48" s="74"/>
      <c r="M48" s="51">
        <f t="shared" si="1"/>
        <v>0</v>
      </c>
      <c r="N48" s="51">
        <f t="shared" si="2"/>
        <v>0</v>
      </c>
      <c r="O48" s="51">
        <f t="shared" si="3"/>
        <v>0</v>
      </c>
      <c r="P48" s="51">
        <f t="shared" si="8"/>
        <v>0</v>
      </c>
      <c r="Q48" s="51">
        <f t="shared" si="4"/>
        <v>0</v>
      </c>
      <c r="R48" s="46"/>
      <c r="S48" s="51">
        <f t="shared" si="9"/>
        <v>0</v>
      </c>
      <c r="T48" s="51">
        <f t="shared" si="5"/>
        <v>0</v>
      </c>
      <c r="U48" s="46"/>
      <c r="V48" s="55"/>
      <c r="W48" s="50"/>
      <c r="X48" s="50"/>
    </row>
    <row r="49" spans="1:24" ht="12.75" customHeight="1">
      <c r="A49" s="14" t="s">
        <v>428</v>
      </c>
      <c r="B49" s="13" t="s">
        <v>429</v>
      </c>
      <c r="C49" s="14" t="s">
        <v>428</v>
      </c>
      <c r="D49" s="51">
        <f t="shared" si="0"/>
        <v>27319.1</v>
      </c>
      <c r="E49" s="54">
        <v>27319.1</v>
      </c>
      <c r="F49" s="54"/>
      <c r="G49" s="51">
        <f t="shared" si="6"/>
        <v>0</v>
      </c>
      <c r="H49" s="54"/>
      <c r="I49" s="54"/>
      <c r="J49" s="51">
        <f t="shared" si="7"/>
        <v>0</v>
      </c>
      <c r="K49" s="73"/>
      <c r="L49" s="73"/>
      <c r="M49" s="51">
        <f t="shared" si="1"/>
        <v>0</v>
      </c>
      <c r="N49" s="51">
        <f t="shared" si="2"/>
        <v>0</v>
      </c>
      <c r="O49" s="51">
        <f t="shared" si="3"/>
        <v>0</v>
      </c>
      <c r="P49" s="51">
        <f t="shared" si="8"/>
        <v>0</v>
      </c>
      <c r="Q49" s="51">
        <f t="shared" si="4"/>
        <v>0</v>
      </c>
      <c r="R49" s="45"/>
      <c r="S49" s="51">
        <f t="shared" si="9"/>
        <v>0</v>
      </c>
      <c r="T49" s="51">
        <f t="shared" si="5"/>
        <v>0</v>
      </c>
      <c r="U49" s="45"/>
      <c r="V49" s="55"/>
      <c r="W49" s="50"/>
      <c r="X49" s="50"/>
    </row>
    <row r="50" spans="1:24" ht="12.75" customHeight="1">
      <c r="A50" s="14" t="s">
        <v>430</v>
      </c>
      <c r="B50" s="13" t="s">
        <v>431</v>
      </c>
      <c r="C50" s="14" t="s">
        <v>430</v>
      </c>
      <c r="D50" s="51">
        <f t="shared" si="0"/>
        <v>9325.6</v>
      </c>
      <c r="E50" s="54">
        <v>9325.6</v>
      </c>
      <c r="F50" s="54"/>
      <c r="G50" s="51">
        <f t="shared" si="6"/>
        <v>10090</v>
      </c>
      <c r="H50" s="54">
        <v>10090</v>
      </c>
      <c r="I50" s="54"/>
      <c r="J50" s="51">
        <f t="shared" si="7"/>
        <v>5000</v>
      </c>
      <c r="K50" s="74">
        <v>5000</v>
      </c>
      <c r="L50" s="74"/>
      <c r="M50" s="51">
        <f t="shared" si="1"/>
        <v>-5090</v>
      </c>
      <c r="N50" s="51">
        <f t="shared" si="2"/>
        <v>-5090</v>
      </c>
      <c r="O50" s="51">
        <f t="shared" si="3"/>
        <v>0</v>
      </c>
      <c r="P50" s="51">
        <f t="shared" si="8"/>
        <v>5000</v>
      </c>
      <c r="Q50" s="51">
        <f t="shared" si="4"/>
        <v>5000</v>
      </c>
      <c r="R50" s="46"/>
      <c r="S50" s="51">
        <f t="shared" si="9"/>
        <v>5000</v>
      </c>
      <c r="T50" s="51">
        <f t="shared" si="5"/>
        <v>5000</v>
      </c>
      <c r="U50" s="46"/>
      <c r="V50" s="55"/>
      <c r="W50" s="50"/>
      <c r="X50" s="50"/>
    </row>
    <row r="51" spans="1:24" s="4" customFormat="1" ht="25.5" customHeight="1">
      <c r="A51" s="6" t="s">
        <v>432</v>
      </c>
      <c r="B51" s="11" t="s">
        <v>433</v>
      </c>
      <c r="C51" s="6" t="s">
        <v>376</v>
      </c>
      <c r="D51" s="51">
        <f t="shared" si="0"/>
        <v>56826.200000000004</v>
      </c>
      <c r="E51" s="51">
        <f>+E53+E54+E55+E56+E57+E58+E59</f>
        <v>56826.200000000004</v>
      </c>
      <c r="F51" s="51">
        <f>+F53+F56+F58+F59</f>
        <v>0</v>
      </c>
      <c r="G51" s="51">
        <f t="shared" si="6"/>
        <v>61140</v>
      </c>
      <c r="H51" s="51">
        <f>+H53+H56+H58+H59</f>
        <v>61140</v>
      </c>
      <c r="I51" s="51">
        <f>+I53+I56+I58+I59</f>
        <v>0</v>
      </c>
      <c r="J51" s="51">
        <f t="shared" si="7"/>
        <v>58370</v>
      </c>
      <c r="K51" s="79">
        <f>+K53+K56+K58+K59</f>
        <v>58370</v>
      </c>
      <c r="L51" s="79">
        <f>+L53+L56+L58+L59</f>
        <v>0</v>
      </c>
      <c r="M51" s="51">
        <f t="shared" si="1"/>
        <v>-2770</v>
      </c>
      <c r="N51" s="51">
        <f t="shared" si="2"/>
        <v>-2770</v>
      </c>
      <c r="O51" s="51">
        <f t="shared" si="3"/>
        <v>0</v>
      </c>
      <c r="P51" s="51">
        <f t="shared" si="8"/>
        <v>58370</v>
      </c>
      <c r="Q51" s="51">
        <f t="shared" si="4"/>
        <v>58370</v>
      </c>
      <c r="R51" s="51">
        <f>+R53+R56+R58+R59</f>
        <v>0</v>
      </c>
      <c r="S51" s="51">
        <f t="shared" si="9"/>
        <v>58370</v>
      </c>
      <c r="T51" s="51">
        <f t="shared" si="5"/>
        <v>58370</v>
      </c>
      <c r="U51" s="51">
        <f>+U53+U56+U58+U59</f>
        <v>0</v>
      </c>
      <c r="V51" s="52"/>
      <c r="W51" s="53"/>
      <c r="X51" s="53"/>
    </row>
    <row r="52" spans="1:24" ht="12.75" customHeight="1">
      <c r="A52" s="14"/>
      <c r="B52" s="13" t="s">
        <v>199</v>
      </c>
      <c r="C52" s="14"/>
      <c r="D52" s="51"/>
      <c r="E52" s="54"/>
      <c r="F52" s="54"/>
      <c r="G52" s="51">
        <f t="shared" si="6"/>
        <v>0</v>
      </c>
      <c r="H52" s="54"/>
      <c r="I52" s="54"/>
      <c r="J52" s="51">
        <f t="shared" si="7"/>
        <v>0</v>
      </c>
      <c r="K52" s="73"/>
      <c r="L52" s="73"/>
      <c r="M52" s="51">
        <f t="shared" si="1"/>
        <v>0</v>
      </c>
      <c r="N52" s="51">
        <f t="shared" si="2"/>
        <v>0</v>
      </c>
      <c r="O52" s="51">
        <f t="shared" si="3"/>
        <v>0</v>
      </c>
      <c r="P52" s="51">
        <f t="shared" si="8"/>
        <v>0</v>
      </c>
      <c r="Q52" s="51">
        <f t="shared" si="4"/>
        <v>0</v>
      </c>
      <c r="R52" s="45"/>
      <c r="S52" s="51">
        <f t="shared" si="9"/>
        <v>0</v>
      </c>
      <c r="T52" s="51">
        <f t="shared" si="5"/>
        <v>0</v>
      </c>
      <c r="U52" s="45"/>
      <c r="V52" s="55"/>
      <c r="W52" s="50"/>
      <c r="X52" s="50"/>
    </row>
    <row r="53" spans="1:24" ht="12.75" customHeight="1">
      <c r="A53" s="14" t="s">
        <v>434</v>
      </c>
      <c r="B53" s="13" t="s">
        <v>435</v>
      </c>
      <c r="C53" s="14" t="s">
        <v>434</v>
      </c>
      <c r="D53" s="51">
        <f t="shared" si="0"/>
        <v>10529.5</v>
      </c>
      <c r="E53" s="54">
        <v>10529.5</v>
      </c>
      <c r="F53" s="54"/>
      <c r="G53" s="51">
        <f t="shared" si="6"/>
        <v>21090</v>
      </c>
      <c r="H53" s="54">
        <v>21090</v>
      </c>
      <c r="I53" s="54"/>
      <c r="J53" s="51">
        <f t="shared" si="7"/>
        <v>20370</v>
      </c>
      <c r="K53" s="74">
        <v>20370</v>
      </c>
      <c r="L53" s="74"/>
      <c r="M53" s="51">
        <f t="shared" si="1"/>
        <v>-720</v>
      </c>
      <c r="N53" s="51">
        <f t="shared" si="2"/>
        <v>-720</v>
      </c>
      <c r="O53" s="51">
        <f t="shared" si="3"/>
        <v>0</v>
      </c>
      <c r="P53" s="51">
        <f t="shared" si="8"/>
        <v>20370</v>
      </c>
      <c r="Q53" s="51">
        <f t="shared" si="4"/>
        <v>20370</v>
      </c>
      <c r="R53" s="46"/>
      <c r="S53" s="51">
        <f t="shared" si="9"/>
        <v>20370</v>
      </c>
      <c r="T53" s="51">
        <f t="shared" si="5"/>
        <v>20370</v>
      </c>
      <c r="U53" s="46"/>
      <c r="V53" s="55"/>
      <c r="W53" s="50"/>
      <c r="X53" s="50"/>
    </row>
    <row r="54" spans="1:24" ht="12.75" customHeight="1">
      <c r="A54" s="14">
        <v>4262</v>
      </c>
      <c r="B54" s="13" t="s">
        <v>720</v>
      </c>
      <c r="C54" s="14">
        <v>4262</v>
      </c>
      <c r="D54" s="51">
        <f t="shared" si="0"/>
        <v>190</v>
      </c>
      <c r="E54" s="54">
        <v>190</v>
      </c>
      <c r="F54" s="54"/>
      <c r="G54" s="51"/>
      <c r="H54" s="54"/>
      <c r="I54" s="54"/>
      <c r="J54" s="51"/>
      <c r="K54" s="74"/>
      <c r="L54" s="74"/>
      <c r="M54" s="51">
        <f t="shared" si="1"/>
        <v>0</v>
      </c>
      <c r="N54" s="51">
        <f t="shared" si="2"/>
        <v>0</v>
      </c>
      <c r="O54" s="51">
        <f t="shared" si="3"/>
        <v>0</v>
      </c>
      <c r="P54" s="51"/>
      <c r="Q54" s="51">
        <f t="shared" si="4"/>
        <v>0</v>
      </c>
      <c r="R54" s="46"/>
      <c r="S54" s="51"/>
      <c r="T54" s="51">
        <f t="shared" si="5"/>
        <v>0</v>
      </c>
      <c r="U54" s="46"/>
      <c r="V54" s="55"/>
      <c r="W54" s="50"/>
      <c r="X54" s="50"/>
    </row>
    <row r="55" spans="1:24" ht="12.75" customHeight="1">
      <c r="A55" s="14">
        <v>4263</v>
      </c>
      <c r="B55" s="13" t="s">
        <v>719</v>
      </c>
      <c r="C55" s="14">
        <v>4263</v>
      </c>
      <c r="D55" s="51">
        <f t="shared" si="0"/>
        <v>18</v>
      </c>
      <c r="E55" s="54">
        <v>18</v>
      </c>
      <c r="F55" s="54"/>
      <c r="G55" s="51"/>
      <c r="H55" s="54"/>
      <c r="I55" s="54"/>
      <c r="J55" s="51"/>
      <c r="K55" s="74"/>
      <c r="L55" s="74"/>
      <c r="M55" s="51">
        <f t="shared" si="1"/>
        <v>0</v>
      </c>
      <c r="N55" s="51">
        <f t="shared" si="2"/>
        <v>0</v>
      </c>
      <c r="O55" s="51">
        <f t="shared" si="3"/>
        <v>0</v>
      </c>
      <c r="P55" s="51"/>
      <c r="Q55" s="51">
        <f t="shared" si="4"/>
        <v>0</v>
      </c>
      <c r="R55" s="46"/>
      <c r="S55" s="51"/>
      <c r="T55" s="51">
        <f t="shared" si="5"/>
        <v>0</v>
      </c>
      <c r="U55" s="46"/>
      <c r="V55" s="55"/>
      <c r="W55" s="50"/>
      <c r="X55" s="50"/>
    </row>
    <row r="56" spans="1:24" ht="12.75" customHeight="1">
      <c r="A56" s="14" t="s">
        <v>436</v>
      </c>
      <c r="B56" s="13" t="s">
        <v>437</v>
      </c>
      <c r="C56" s="14" t="s">
        <v>436</v>
      </c>
      <c r="D56" s="51">
        <f t="shared" si="0"/>
        <v>28518.3</v>
      </c>
      <c r="E56" s="54">
        <v>28518.3</v>
      </c>
      <c r="F56" s="54"/>
      <c r="G56" s="51">
        <f t="shared" si="6"/>
        <v>20000</v>
      </c>
      <c r="H56" s="54">
        <v>20000</v>
      </c>
      <c r="I56" s="54"/>
      <c r="J56" s="51">
        <f t="shared" si="7"/>
        <v>15000</v>
      </c>
      <c r="K56" s="75">
        <v>15000</v>
      </c>
      <c r="L56" s="75"/>
      <c r="M56" s="51">
        <f t="shared" si="1"/>
        <v>-5000</v>
      </c>
      <c r="N56" s="51">
        <f t="shared" si="2"/>
        <v>-5000</v>
      </c>
      <c r="O56" s="51">
        <f t="shared" si="3"/>
        <v>0</v>
      </c>
      <c r="P56" s="51">
        <f t="shared" si="8"/>
        <v>15000</v>
      </c>
      <c r="Q56" s="51">
        <f t="shared" si="4"/>
        <v>15000</v>
      </c>
      <c r="R56" s="47"/>
      <c r="S56" s="51">
        <f t="shared" si="9"/>
        <v>15000</v>
      </c>
      <c r="T56" s="51">
        <f t="shared" si="5"/>
        <v>15000</v>
      </c>
      <c r="U56" s="47"/>
      <c r="V56" s="55"/>
      <c r="W56" s="50"/>
      <c r="X56" s="50"/>
    </row>
    <row r="57" spans="1:24" ht="12.75" customHeight="1">
      <c r="A57" s="14">
        <v>4266</v>
      </c>
      <c r="B57" s="13" t="s">
        <v>721</v>
      </c>
      <c r="C57" s="14">
        <v>4266</v>
      </c>
      <c r="D57" s="51">
        <f t="shared" si="0"/>
        <v>538</v>
      </c>
      <c r="E57" s="54">
        <v>538</v>
      </c>
      <c r="F57" s="54"/>
      <c r="G57" s="51"/>
      <c r="H57" s="54"/>
      <c r="I57" s="54"/>
      <c r="J57" s="51"/>
      <c r="K57" s="75"/>
      <c r="L57" s="75"/>
      <c r="M57" s="51">
        <f t="shared" si="1"/>
        <v>0</v>
      </c>
      <c r="N57" s="51">
        <f t="shared" si="2"/>
        <v>0</v>
      </c>
      <c r="O57" s="51">
        <f t="shared" si="3"/>
        <v>0</v>
      </c>
      <c r="P57" s="51"/>
      <c r="Q57" s="51">
        <f t="shared" si="4"/>
        <v>0</v>
      </c>
      <c r="R57" s="47"/>
      <c r="S57" s="51"/>
      <c r="T57" s="51">
        <f t="shared" si="5"/>
        <v>0</v>
      </c>
      <c r="U57" s="47"/>
      <c r="V57" s="55"/>
      <c r="W57" s="50"/>
      <c r="X57" s="50"/>
    </row>
    <row r="58" spans="1:24" ht="12.75" customHeight="1">
      <c r="A58" s="14" t="s">
        <v>438</v>
      </c>
      <c r="B58" s="13" t="s">
        <v>439</v>
      </c>
      <c r="C58" s="14" t="s">
        <v>438</v>
      </c>
      <c r="D58" s="51">
        <f t="shared" si="0"/>
        <v>9920.3</v>
      </c>
      <c r="E58" s="54">
        <v>9920.3</v>
      </c>
      <c r="F58" s="54"/>
      <c r="G58" s="51">
        <f t="shared" si="6"/>
        <v>20050</v>
      </c>
      <c r="H58" s="54">
        <v>20050</v>
      </c>
      <c r="I58" s="54"/>
      <c r="J58" s="51">
        <f t="shared" si="7"/>
        <v>20000</v>
      </c>
      <c r="K58" s="73">
        <v>20000</v>
      </c>
      <c r="L58" s="73"/>
      <c r="M58" s="51">
        <f t="shared" si="1"/>
        <v>-50</v>
      </c>
      <c r="N58" s="51">
        <f t="shared" si="2"/>
        <v>-50</v>
      </c>
      <c r="O58" s="51">
        <f t="shared" si="3"/>
        <v>0</v>
      </c>
      <c r="P58" s="51">
        <f t="shared" si="8"/>
        <v>20000</v>
      </c>
      <c r="Q58" s="51">
        <f t="shared" si="4"/>
        <v>20000</v>
      </c>
      <c r="R58" s="45"/>
      <c r="S58" s="51">
        <f t="shared" si="9"/>
        <v>20000</v>
      </c>
      <c r="T58" s="51">
        <f t="shared" si="5"/>
        <v>20000</v>
      </c>
      <c r="U58" s="45"/>
      <c r="V58" s="55"/>
      <c r="W58" s="50"/>
      <c r="X58" s="50"/>
    </row>
    <row r="59" spans="1:24" ht="12.75" customHeight="1">
      <c r="A59" s="14" t="s">
        <v>440</v>
      </c>
      <c r="B59" s="13" t="s">
        <v>441</v>
      </c>
      <c r="C59" s="14" t="s">
        <v>442</v>
      </c>
      <c r="D59" s="51">
        <f t="shared" si="0"/>
        <v>7112.1</v>
      </c>
      <c r="E59" s="54">
        <v>7112.1</v>
      </c>
      <c r="F59" s="54"/>
      <c r="G59" s="51">
        <f t="shared" si="6"/>
        <v>0</v>
      </c>
      <c r="H59" s="54"/>
      <c r="I59" s="54"/>
      <c r="J59" s="51">
        <f t="shared" si="7"/>
        <v>3000</v>
      </c>
      <c r="K59" s="75">
        <v>3000</v>
      </c>
      <c r="L59" s="75"/>
      <c r="M59" s="51">
        <f t="shared" si="1"/>
        <v>3000</v>
      </c>
      <c r="N59" s="51">
        <f t="shared" si="2"/>
        <v>3000</v>
      </c>
      <c r="O59" s="51">
        <f t="shared" si="3"/>
        <v>0</v>
      </c>
      <c r="P59" s="51">
        <f t="shared" si="8"/>
        <v>3000</v>
      </c>
      <c r="Q59" s="51">
        <f t="shared" si="4"/>
        <v>3000</v>
      </c>
      <c r="R59" s="47"/>
      <c r="S59" s="51">
        <f t="shared" si="9"/>
        <v>3000</v>
      </c>
      <c r="T59" s="51">
        <f t="shared" si="5"/>
        <v>3000</v>
      </c>
      <c r="U59" s="47"/>
      <c r="V59" s="55"/>
      <c r="W59" s="50"/>
      <c r="X59" s="50"/>
    </row>
    <row r="60" spans="1:24" s="4" customFormat="1" ht="25.5" customHeight="1">
      <c r="A60" s="6" t="s">
        <v>443</v>
      </c>
      <c r="B60" s="11" t="s">
        <v>444</v>
      </c>
      <c r="C60" s="6" t="s">
        <v>376</v>
      </c>
      <c r="D60" s="51">
        <f t="shared" si="0"/>
        <v>0</v>
      </c>
      <c r="E60" s="51">
        <f aca="true" t="shared" si="18" ref="E60:U60">+E64</f>
        <v>0</v>
      </c>
      <c r="F60" s="51">
        <f t="shared" si="18"/>
        <v>0</v>
      </c>
      <c r="G60" s="51">
        <f t="shared" si="6"/>
        <v>0</v>
      </c>
      <c r="H60" s="51">
        <f t="shared" si="18"/>
        <v>0</v>
      </c>
      <c r="I60" s="51">
        <f t="shared" si="18"/>
        <v>0</v>
      </c>
      <c r="J60" s="51">
        <f t="shared" si="7"/>
        <v>0</v>
      </c>
      <c r="K60" s="79">
        <f t="shared" si="18"/>
        <v>0</v>
      </c>
      <c r="L60" s="79">
        <f t="shared" si="18"/>
        <v>0</v>
      </c>
      <c r="M60" s="51">
        <f t="shared" si="1"/>
        <v>0</v>
      </c>
      <c r="N60" s="51">
        <f t="shared" si="2"/>
        <v>0</v>
      </c>
      <c r="O60" s="51">
        <f t="shared" si="3"/>
        <v>0</v>
      </c>
      <c r="P60" s="51">
        <f t="shared" si="8"/>
        <v>0</v>
      </c>
      <c r="Q60" s="51">
        <f t="shared" si="4"/>
        <v>0</v>
      </c>
      <c r="R60" s="51">
        <f t="shared" si="18"/>
        <v>0</v>
      </c>
      <c r="S60" s="51">
        <f t="shared" si="9"/>
        <v>0</v>
      </c>
      <c r="T60" s="51">
        <f t="shared" si="5"/>
        <v>0</v>
      </c>
      <c r="U60" s="51">
        <f t="shared" si="18"/>
        <v>0</v>
      </c>
      <c r="V60" s="52"/>
      <c r="W60" s="53"/>
      <c r="X60" s="53"/>
    </row>
    <row r="61" spans="1:24" ht="12.75" customHeight="1">
      <c r="A61" s="14"/>
      <c r="B61" s="13" t="s">
        <v>5</v>
      </c>
      <c r="C61" s="14"/>
      <c r="D61" s="51">
        <f t="shared" si="0"/>
        <v>0</v>
      </c>
      <c r="E61" s="54"/>
      <c r="F61" s="54"/>
      <c r="G61" s="51"/>
      <c r="H61" s="54"/>
      <c r="I61" s="54"/>
      <c r="J61" s="51">
        <f t="shared" si="7"/>
        <v>0</v>
      </c>
      <c r="K61" s="73"/>
      <c r="L61" s="73"/>
      <c r="M61" s="51">
        <f t="shared" si="1"/>
        <v>0</v>
      </c>
      <c r="N61" s="51">
        <f t="shared" si="2"/>
        <v>0</v>
      </c>
      <c r="O61" s="51">
        <f t="shared" si="3"/>
        <v>0</v>
      </c>
      <c r="P61" s="51">
        <f t="shared" si="8"/>
        <v>0</v>
      </c>
      <c r="Q61" s="51">
        <f t="shared" si="4"/>
        <v>0</v>
      </c>
      <c r="R61" s="45"/>
      <c r="S61" s="51">
        <f t="shared" si="9"/>
        <v>0</v>
      </c>
      <c r="T61" s="51">
        <f t="shared" si="5"/>
        <v>0</v>
      </c>
      <c r="U61" s="45"/>
      <c r="V61" s="55"/>
      <c r="W61" s="50"/>
      <c r="X61" s="50"/>
    </row>
    <row r="62" spans="1:24" s="4" customFormat="1" ht="25.5" customHeight="1">
      <c r="A62" s="6" t="s">
        <v>445</v>
      </c>
      <c r="B62" s="11" t="s">
        <v>446</v>
      </c>
      <c r="C62" s="6" t="s">
        <v>376</v>
      </c>
      <c r="D62" s="51">
        <f t="shared" si="0"/>
        <v>0</v>
      </c>
      <c r="E62" s="51"/>
      <c r="F62" s="51"/>
      <c r="G62" s="51">
        <f t="shared" si="6"/>
        <v>0</v>
      </c>
      <c r="H62" s="51"/>
      <c r="I62" s="51"/>
      <c r="J62" s="51">
        <f t="shared" si="7"/>
        <v>0</v>
      </c>
      <c r="K62" s="73"/>
      <c r="L62" s="73"/>
      <c r="M62" s="51">
        <f t="shared" si="1"/>
        <v>0</v>
      </c>
      <c r="N62" s="51">
        <f t="shared" si="2"/>
        <v>0</v>
      </c>
      <c r="O62" s="51">
        <f t="shared" si="3"/>
        <v>0</v>
      </c>
      <c r="P62" s="51">
        <f t="shared" si="8"/>
        <v>0</v>
      </c>
      <c r="Q62" s="51">
        <f t="shared" si="4"/>
        <v>0</v>
      </c>
      <c r="R62" s="45"/>
      <c r="S62" s="51">
        <f t="shared" si="9"/>
        <v>0</v>
      </c>
      <c r="T62" s="51">
        <f t="shared" si="5"/>
        <v>0</v>
      </c>
      <c r="U62" s="45"/>
      <c r="V62" s="52"/>
      <c r="W62" s="53"/>
      <c r="X62" s="53"/>
    </row>
    <row r="63" spans="1:24" ht="12.75" customHeight="1">
      <c r="A63" s="14"/>
      <c r="B63" s="13" t="s">
        <v>199</v>
      </c>
      <c r="C63" s="14"/>
      <c r="D63" s="51">
        <f t="shared" si="0"/>
        <v>0</v>
      </c>
      <c r="E63" s="54"/>
      <c r="F63" s="54"/>
      <c r="G63" s="51"/>
      <c r="H63" s="54"/>
      <c r="I63" s="54"/>
      <c r="J63" s="51">
        <f t="shared" si="7"/>
        <v>0</v>
      </c>
      <c r="K63" s="75"/>
      <c r="L63" s="75"/>
      <c r="M63" s="51">
        <f t="shared" si="1"/>
        <v>0</v>
      </c>
      <c r="N63" s="51">
        <f t="shared" si="2"/>
        <v>0</v>
      </c>
      <c r="O63" s="51">
        <f t="shared" si="3"/>
        <v>0</v>
      </c>
      <c r="P63" s="51">
        <f t="shared" si="8"/>
        <v>0</v>
      </c>
      <c r="Q63" s="51">
        <f t="shared" si="4"/>
        <v>0</v>
      </c>
      <c r="R63" s="47"/>
      <c r="S63" s="51">
        <f t="shared" si="9"/>
        <v>0</v>
      </c>
      <c r="T63" s="51">
        <f t="shared" si="5"/>
        <v>0</v>
      </c>
      <c r="U63" s="47"/>
      <c r="V63" s="55"/>
      <c r="W63" s="50"/>
      <c r="X63" s="50"/>
    </row>
    <row r="64" spans="1:24" ht="12.75" customHeight="1">
      <c r="A64" s="14" t="s">
        <v>447</v>
      </c>
      <c r="B64" s="13" t="s">
        <v>448</v>
      </c>
      <c r="C64" s="14" t="s">
        <v>449</v>
      </c>
      <c r="D64" s="51">
        <f t="shared" si="0"/>
        <v>0</v>
      </c>
      <c r="E64" s="54"/>
      <c r="F64" s="54"/>
      <c r="G64" s="51">
        <f t="shared" si="6"/>
        <v>0</v>
      </c>
      <c r="H64" s="54"/>
      <c r="I64" s="54"/>
      <c r="J64" s="51">
        <f t="shared" si="7"/>
        <v>0</v>
      </c>
      <c r="K64" s="74"/>
      <c r="L64" s="74"/>
      <c r="M64" s="51">
        <f t="shared" si="1"/>
        <v>0</v>
      </c>
      <c r="N64" s="51">
        <f t="shared" si="2"/>
        <v>0</v>
      </c>
      <c r="O64" s="51">
        <f t="shared" si="3"/>
        <v>0</v>
      </c>
      <c r="P64" s="51">
        <f t="shared" si="8"/>
        <v>0</v>
      </c>
      <c r="Q64" s="51">
        <f t="shared" si="4"/>
        <v>0</v>
      </c>
      <c r="R64" s="46"/>
      <c r="S64" s="51">
        <f t="shared" si="9"/>
        <v>0</v>
      </c>
      <c r="T64" s="51">
        <f t="shared" si="5"/>
        <v>0</v>
      </c>
      <c r="U64" s="46"/>
      <c r="V64" s="55"/>
      <c r="W64" s="50"/>
      <c r="X64" s="50"/>
    </row>
    <row r="65" spans="1:24" s="4" customFormat="1" ht="25.5" customHeight="1">
      <c r="A65" s="6" t="s">
        <v>450</v>
      </c>
      <c r="B65" s="11" t="s">
        <v>451</v>
      </c>
      <c r="C65" s="6" t="s">
        <v>376</v>
      </c>
      <c r="D65" s="51">
        <f t="shared" si="0"/>
        <v>1633893.8</v>
      </c>
      <c r="E65" s="51">
        <f aca="true" t="shared" si="19" ref="E65:U65">+E67+E71</f>
        <v>1633893.8</v>
      </c>
      <c r="F65" s="51">
        <f t="shared" si="19"/>
        <v>0</v>
      </c>
      <c r="G65" s="51">
        <f t="shared" si="6"/>
        <v>1870700</v>
      </c>
      <c r="H65" s="51">
        <f t="shared" si="19"/>
        <v>1870700</v>
      </c>
      <c r="I65" s="51">
        <f t="shared" si="19"/>
        <v>0</v>
      </c>
      <c r="J65" s="51">
        <f t="shared" si="7"/>
        <v>2073500</v>
      </c>
      <c r="K65" s="79">
        <f t="shared" si="19"/>
        <v>2073500</v>
      </c>
      <c r="L65" s="79">
        <f t="shared" si="19"/>
        <v>0</v>
      </c>
      <c r="M65" s="51">
        <f t="shared" si="1"/>
        <v>202800</v>
      </c>
      <c r="N65" s="51">
        <f t="shared" si="2"/>
        <v>202800</v>
      </c>
      <c r="O65" s="51">
        <f t="shared" si="3"/>
        <v>0</v>
      </c>
      <c r="P65" s="51">
        <f t="shared" si="8"/>
        <v>2073500</v>
      </c>
      <c r="Q65" s="51">
        <f t="shared" si="4"/>
        <v>2073500</v>
      </c>
      <c r="R65" s="51">
        <f t="shared" si="19"/>
        <v>0</v>
      </c>
      <c r="S65" s="51">
        <f t="shared" si="9"/>
        <v>2073500</v>
      </c>
      <c r="T65" s="51">
        <f t="shared" si="5"/>
        <v>2073500</v>
      </c>
      <c r="U65" s="51">
        <f t="shared" si="19"/>
        <v>0</v>
      </c>
      <c r="V65" s="52"/>
      <c r="W65" s="53"/>
      <c r="X65" s="53"/>
    </row>
    <row r="66" spans="1:24" ht="12.75" customHeight="1">
      <c r="A66" s="14"/>
      <c r="B66" s="13" t="s">
        <v>5</v>
      </c>
      <c r="C66" s="14"/>
      <c r="D66" s="51">
        <f t="shared" si="0"/>
        <v>0</v>
      </c>
      <c r="E66" s="54"/>
      <c r="F66" s="54"/>
      <c r="G66" s="51">
        <f t="shared" si="6"/>
        <v>0</v>
      </c>
      <c r="H66" s="54"/>
      <c r="I66" s="54"/>
      <c r="J66" s="51">
        <f t="shared" si="7"/>
        <v>0</v>
      </c>
      <c r="K66" s="73"/>
      <c r="L66" s="73"/>
      <c r="M66" s="51">
        <f t="shared" si="1"/>
        <v>0</v>
      </c>
      <c r="N66" s="51">
        <f t="shared" si="2"/>
        <v>0</v>
      </c>
      <c r="O66" s="51">
        <f t="shared" si="3"/>
        <v>0</v>
      </c>
      <c r="P66" s="51">
        <f t="shared" si="8"/>
        <v>0</v>
      </c>
      <c r="Q66" s="51">
        <f t="shared" si="4"/>
        <v>0</v>
      </c>
      <c r="R66" s="45"/>
      <c r="S66" s="51">
        <f t="shared" si="9"/>
        <v>0</v>
      </c>
      <c r="T66" s="51">
        <f t="shared" si="5"/>
        <v>0</v>
      </c>
      <c r="U66" s="45"/>
      <c r="V66" s="55"/>
      <c r="W66" s="50"/>
      <c r="X66" s="50"/>
    </row>
    <row r="67" spans="1:24" s="4" customFormat="1" ht="25.5" customHeight="1">
      <c r="A67" s="6" t="s">
        <v>452</v>
      </c>
      <c r="B67" s="11" t="s">
        <v>453</v>
      </c>
      <c r="C67" s="6" t="s">
        <v>376</v>
      </c>
      <c r="D67" s="51">
        <f t="shared" si="0"/>
        <v>1633893.8</v>
      </c>
      <c r="E67" s="51">
        <f>+E69+E70</f>
        <v>1633893.8</v>
      </c>
      <c r="F67" s="51">
        <f>+F69</f>
        <v>0</v>
      </c>
      <c r="G67" s="51">
        <f t="shared" si="6"/>
        <v>1870700</v>
      </c>
      <c r="H67" s="51">
        <f>+H69</f>
        <v>1870700</v>
      </c>
      <c r="I67" s="51">
        <f>+I69</f>
        <v>0</v>
      </c>
      <c r="J67" s="51">
        <f t="shared" si="7"/>
        <v>2073500</v>
      </c>
      <c r="K67" s="79">
        <f>+K69</f>
        <v>2073500</v>
      </c>
      <c r="L67" s="79">
        <f>+L69</f>
        <v>0</v>
      </c>
      <c r="M67" s="51">
        <f t="shared" si="1"/>
        <v>202800</v>
      </c>
      <c r="N67" s="51">
        <f t="shared" si="2"/>
        <v>202800</v>
      </c>
      <c r="O67" s="51">
        <f t="shared" si="3"/>
        <v>0</v>
      </c>
      <c r="P67" s="51">
        <f t="shared" si="8"/>
        <v>2073500</v>
      </c>
      <c r="Q67" s="51">
        <f t="shared" si="4"/>
        <v>2073500</v>
      </c>
      <c r="R67" s="51">
        <f>+R69</f>
        <v>0</v>
      </c>
      <c r="S67" s="51">
        <f t="shared" si="9"/>
        <v>2073500</v>
      </c>
      <c r="T67" s="51">
        <f t="shared" si="5"/>
        <v>2073500</v>
      </c>
      <c r="U67" s="51">
        <f>+U69</f>
        <v>0</v>
      </c>
      <c r="V67" s="52"/>
      <c r="W67" s="53"/>
      <c r="X67" s="53"/>
    </row>
    <row r="68" spans="1:24" ht="12.75" customHeight="1">
      <c r="A68" s="14"/>
      <c r="B68" s="13" t="s">
        <v>199</v>
      </c>
      <c r="C68" s="14"/>
      <c r="D68" s="51">
        <f t="shared" si="0"/>
        <v>0</v>
      </c>
      <c r="E68" s="54"/>
      <c r="F68" s="54"/>
      <c r="G68" s="51"/>
      <c r="H68" s="54"/>
      <c r="I68" s="54"/>
      <c r="J68" s="51">
        <f t="shared" si="7"/>
        <v>0</v>
      </c>
      <c r="K68" s="75"/>
      <c r="L68" s="75"/>
      <c r="M68" s="51">
        <f t="shared" si="1"/>
        <v>0</v>
      </c>
      <c r="N68" s="51">
        <f t="shared" si="2"/>
        <v>0</v>
      </c>
      <c r="O68" s="51">
        <f t="shared" si="3"/>
        <v>0</v>
      </c>
      <c r="P68" s="51">
        <f t="shared" si="8"/>
        <v>0</v>
      </c>
      <c r="Q68" s="51">
        <f t="shared" si="4"/>
        <v>0</v>
      </c>
      <c r="R68" s="47"/>
      <c r="S68" s="51">
        <f t="shared" si="9"/>
        <v>0</v>
      </c>
      <c r="T68" s="51">
        <f t="shared" si="5"/>
        <v>0</v>
      </c>
      <c r="U68" s="47"/>
      <c r="V68" s="55"/>
      <c r="W68" s="50"/>
      <c r="X68" s="50"/>
    </row>
    <row r="69" spans="1:24" ht="12.75" customHeight="1">
      <c r="A69" s="14" t="s">
        <v>454</v>
      </c>
      <c r="B69" s="13" t="s">
        <v>455</v>
      </c>
      <c r="C69" s="14" t="s">
        <v>456</v>
      </c>
      <c r="D69" s="51">
        <f t="shared" si="0"/>
        <v>1633663.8</v>
      </c>
      <c r="E69" s="54">
        <v>1633663.8</v>
      </c>
      <c r="F69" s="54"/>
      <c r="G69" s="51">
        <f t="shared" si="6"/>
        <v>1870700</v>
      </c>
      <c r="H69" s="54">
        <v>1870700</v>
      </c>
      <c r="I69" s="54"/>
      <c r="J69" s="51">
        <f t="shared" si="7"/>
        <v>2073500</v>
      </c>
      <c r="K69" s="73">
        <v>2073500</v>
      </c>
      <c r="L69" s="73"/>
      <c r="M69" s="51">
        <f t="shared" si="1"/>
        <v>202800</v>
      </c>
      <c r="N69" s="51">
        <f t="shared" si="2"/>
        <v>202800</v>
      </c>
      <c r="O69" s="51">
        <f t="shared" si="3"/>
        <v>0</v>
      </c>
      <c r="P69" s="51">
        <f t="shared" si="8"/>
        <v>2073500</v>
      </c>
      <c r="Q69" s="51">
        <f t="shared" si="4"/>
        <v>2073500</v>
      </c>
      <c r="R69" s="45"/>
      <c r="S69" s="51">
        <f t="shared" si="9"/>
        <v>2073500</v>
      </c>
      <c r="T69" s="51">
        <f t="shared" si="5"/>
        <v>2073500</v>
      </c>
      <c r="U69" s="45"/>
      <c r="V69" s="55"/>
      <c r="W69" s="50"/>
      <c r="X69" s="50"/>
    </row>
    <row r="70" spans="1:24" ht="12.75" customHeight="1">
      <c r="A70" s="14"/>
      <c r="B70" s="13" t="s">
        <v>722</v>
      </c>
      <c r="C70" s="14">
        <v>4512</v>
      </c>
      <c r="D70" s="51">
        <f t="shared" si="0"/>
        <v>230</v>
      </c>
      <c r="E70" s="54">
        <v>230</v>
      </c>
      <c r="F70" s="54"/>
      <c r="G70" s="51"/>
      <c r="H70" s="54"/>
      <c r="I70" s="54"/>
      <c r="J70" s="51"/>
      <c r="K70" s="73"/>
      <c r="L70" s="73"/>
      <c r="M70" s="51">
        <f t="shared" si="1"/>
        <v>0</v>
      </c>
      <c r="N70" s="51">
        <f t="shared" si="2"/>
        <v>0</v>
      </c>
      <c r="O70" s="51">
        <f t="shared" si="3"/>
        <v>0</v>
      </c>
      <c r="P70" s="51"/>
      <c r="Q70" s="51">
        <f t="shared" si="4"/>
        <v>0</v>
      </c>
      <c r="R70" s="45"/>
      <c r="S70" s="51"/>
      <c r="T70" s="51">
        <f t="shared" si="5"/>
        <v>0</v>
      </c>
      <c r="U70" s="45"/>
      <c r="V70" s="55"/>
      <c r="W70" s="50"/>
      <c r="X70" s="50"/>
    </row>
    <row r="71" spans="1:24" s="4" customFormat="1" ht="25.5" customHeight="1">
      <c r="A71" s="6" t="s">
        <v>457</v>
      </c>
      <c r="B71" s="11" t="s">
        <v>458</v>
      </c>
      <c r="C71" s="6" t="s">
        <v>376</v>
      </c>
      <c r="D71" s="51">
        <f t="shared" si="0"/>
        <v>0</v>
      </c>
      <c r="E71" s="51">
        <f aca="true" t="shared" si="20" ref="E71:U71">+E73</f>
        <v>0</v>
      </c>
      <c r="F71" s="51">
        <f t="shared" si="20"/>
        <v>0</v>
      </c>
      <c r="G71" s="51">
        <f t="shared" si="6"/>
        <v>0</v>
      </c>
      <c r="H71" s="51">
        <f t="shared" si="20"/>
        <v>0</v>
      </c>
      <c r="I71" s="51">
        <f t="shared" si="20"/>
        <v>0</v>
      </c>
      <c r="J71" s="51">
        <f t="shared" si="7"/>
        <v>0</v>
      </c>
      <c r="K71" s="79">
        <f t="shared" si="20"/>
        <v>0</v>
      </c>
      <c r="L71" s="79">
        <f t="shared" si="20"/>
        <v>0</v>
      </c>
      <c r="M71" s="51">
        <f t="shared" si="1"/>
        <v>0</v>
      </c>
      <c r="N71" s="51">
        <f t="shared" si="2"/>
        <v>0</v>
      </c>
      <c r="O71" s="51">
        <f t="shared" si="3"/>
        <v>0</v>
      </c>
      <c r="P71" s="51">
        <f t="shared" si="8"/>
        <v>0</v>
      </c>
      <c r="Q71" s="51">
        <f t="shared" si="4"/>
        <v>0</v>
      </c>
      <c r="R71" s="51">
        <f t="shared" si="20"/>
        <v>0</v>
      </c>
      <c r="S71" s="51">
        <f t="shared" si="9"/>
        <v>0</v>
      </c>
      <c r="T71" s="51">
        <f t="shared" si="5"/>
        <v>0</v>
      </c>
      <c r="U71" s="51">
        <f t="shared" si="20"/>
        <v>0</v>
      </c>
      <c r="V71" s="52"/>
      <c r="W71" s="53"/>
      <c r="X71" s="53"/>
    </row>
    <row r="72" spans="1:24" ht="12.75" customHeight="1">
      <c r="A72" s="14"/>
      <c r="B72" s="13" t="s">
        <v>199</v>
      </c>
      <c r="C72" s="14"/>
      <c r="D72" s="51">
        <f t="shared" si="0"/>
        <v>0</v>
      </c>
      <c r="E72" s="54"/>
      <c r="F72" s="54"/>
      <c r="G72" s="51">
        <f t="shared" si="6"/>
        <v>0</v>
      </c>
      <c r="H72" s="54"/>
      <c r="I72" s="54"/>
      <c r="J72" s="51">
        <f t="shared" si="7"/>
        <v>0</v>
      </c>
      <c r="K72" s="75"/>
      <c r="L72" s="75"/>
      <c r="M72" s="51">
        <f t="shared" si="1"/>
        <v>0</v>
      </c>
      <c r="N72" s="51">
        <f t="shared" si="2"/>
        <v>0</v>
      </c>
      <c r="O72" s="51">
        <f t="shared" si="3"/>
        <v>0</v>
      </c>
      <c r="P72" s="51">
        <f t="shared" si="8"/>
        <v>0</v>
      </c>
      <c r="Q72" s="51">
        <f t="shared" si="4"/>
        <v>0</v>
      </c>
      <c r="R72" s="47"/>
      <c r="S72" s="51">
        <f t="shared" si="9"/>
        <v>0</v>
      </c>
      <c r="T72" s="51">
        <f t="shared" si="5"/>
        <v>0</v>
      </c>
      <c r="U72" s="47"/>
      <c r="V72" s="55"/>
      <c r="W72" s="50"/>
      <c r="X72" s="50"/>
    </row>
    <row r="73" spans="1:24" ht="28.5" customHeight="1">
      <c r="A73" s="14" t="s">
        <v>459</v>
      </c>
      <c r="B73" s="13" t="s">
        <v>460</v>
      </c>
      <c r="C73" s="14" t="s">
        <v>461</v>
      </c>
      <c r="D73" s="51">
        <f t="shared" si="0"/>
        <v>0</v>
      </c>
      <c r="E73" s="54"/>
      <c r="F73" s="54"/>
      <c r="G73" s="51">
        <f t="shared" si="6"/>
        <v>0</v>
      </c>
      <c r="H73" s="54"/>
      <c r="I73" s="54"/>
      <c r="J73" s="51">
        <f t="shared" si="7"/>
        <v>0</v>
      </c>
      <c r="K73" s="73"/>
      <c r="L73" s="73"/>
      <c r="M73" s="51">
        <f t="shared" si="1"/>
        <v>0</v>
      </c>
      <c r="N73" s="51">
        <f t="shared" si="2"/>
        <v>0</v>
      </c>
      <c r="O73" s="51">
        <f t="shared" si="3"/>
        <v>0</v>
      </c>
      <c r="P73" s="51">
        <f t="shared" si="8"/>
        <v>0</v>
      </c>
      <c r="Q73" s="51">
        <f t="shared" si="4"/>
        <v>0</v>
      </c>
      <c r="R73" s="45"/>
      <c r="S73" s="51">
        <f t="shared" si="9"/>
        <v>0</v>
      </c>
      <c r="T73" s="51">
        <f t="shared" si="5"/>
        <v>0</v>
      </c>
      <c r="U73" s="45"/>
      <c r="V73" s="55"/>
      <c r="W73" s="50"/>
      <c r="X73" s="50"/>
    </row>
    <row r="74" spans="1:24" ht="12.75" customHeight="1">
      <c r="A74" s="14" t="s">
        <v>462</v>
      </c>
      <c r="B74" s="23" t="s">
        <v>463</v>
      </c>
      <c r="C74" s="14" t="s">
        <v>376</v>
      </c>
      <c r="D74" s="51">
        <f t="shared" si="0"/>
        <v>21044.699999999997</v>
      </c>
      <c r="E74" s="54">
        <f aca="true" t="shared" si="21" ref="E74:U74">+E76+E81</f>
        <v>21044.699999999997</v>
      </c>
      <c r="F74" s="54">
        <f t="shared" si="21"/>
        <v>0</v>
      </c>
      <c r="G74" s="51">
        <f t="shared" si="6"/>
        <v>22600</v>
      </c>
      <c r="H74" s="54">
        <f t="shared" si="21"/>
        <v>22600</v>
      </c>
      <c r="I74" s="54">
        <f t="shared" si="21"/>
        <v>0</v>
      </c>
      <c r="J74" s="51">
        <f t="shared" si="7"/>
        <v>20000</v>
      </c>
      <c r="K74" s="80">
        <f t="shared" si="21"/>
        <v>20000</v>
      </c>
      <c r="L74" s="80">
        <f t="shared" si="21"/>
        <v>0</v>
      </c>
      <c r="M74" s="51">
        <f aca="true" t="shared" si="22" ref="M74:M137">+J74-G74</f>
        <v>-2600</v>
      </c>
      <c r="N74" s="51">
        <f aca="true" t="shared" si="23" ref="N74:N137">+K74-H74</f>
        <v>-2600</v>
      </c>
      <c r="O74" s="51">
        <f aca="true" t="shared" si="24" ref="O74:O137">+L74-I74</f>
        <v>0</v>
      </c>
      <c r="P74" s="51">
        <f t="shared" si="8"/>
        <v>20000</v>
      </c>
      <c r="Q74" s="51">
        <f aca="true" t="shared" si="25" ref="Q74:Q137">+K74</f>
        <v>20000</v>
      </c>
      <c r="R74" s="54">
        <f t="shared" si="21"/>
        <v>0</v>
      </c>
      <c r="S74" s="51">
        <f t="shared" si="9"/>
        <v>20000</v>
      </c>
      <c r="T74" s="51">
        <f aca="true" t="shared" si="26" ref="T74:T137">+K74</f>
        <v>20000</v>
      </c>
      <c r="U74" s="54">
        <f t="shared" si="21"/>
        <v>0</v>
      </c>
      <c r="V74" s="55"/>
      <c r="W74" s="50"/>
      <c r="X74" s="50"/>
    </row>
    <row r="75" spans="1:24" ht="12.75" customHeight="1">
      <c r="A75" s="14"/>
      <c r="B75" s="13" t="s">
        <v>5</v>
      </c>
      <c r="C75" s="14"/>
      <c r="D75" s="51">
        <f t="shared" si="0"/>
        <v>0</v>
      </c>
      <c r="E75" s="54"/>
      <c r="F75" s="54"/>
      <c r="G75" s="51">
        <f t="shared" si="6"/>
        <v>0</v>
      </c>
      <c r="H75" s="54"/>
      <c r="I75" s="54"/>
      <c r="J75" s="51">
        <f t="shared" si="7"/>
        <v>0</v>
      </c>
      <c r="K75" s="75"/>
      <c r="L75" s="75"/>
      <c r="M75" s="51">
        <f t="shared" si="22"/>
        <v>0</v>
      </c>
      <c r="N75" s="51">
        <f t="shared" si="23"/>
        <v>0</v>
      </c>
      <c r="O75" s="51">
        <f t="shared" si="24"/>
        <v>0</v>
      </c>
      <c r="P75" s="51">
        <f t="shared" si="8"/>
        <v>0</v>
      </c>
      <c r="Q75" s="51">
        <f t="shared" si="25"/>
        <v>0</v>
      </c>
      <c r="R75" s="47"/>
      <c r="S75" s="51">
        <f t="shared" si="9"/>
        <v>0</v>
      </c>
      <c r="T75" s="51">
        <f t="shared" si="26"/>
        <v>0</v>
      </c>
      <c r="U75" s="47"/>
      <c r="V75" s="55"/>
      <c r="W75" s="50"/>
      <c r="X75" s="50"/>
    </row>
    <row r="76" spans="1:24" s="4" customFormat="1" ht="25.5" customHeight="1">
      <c r="A76" s="6" t="s">
        <v>464</v>
      </c>
      <c r="B76" s="11" t="s">
        <v>465</v>
      </c>
      <c r="C76" s="6" t="s">
        <v>376</v>
      </c>
      <c r="D76" s="51">
        <f t="shared" si="0"/>
        <v>12772.4</v>
      </c>
      <c r="E76" s="51">
        <f aca="true" t="shared" si="27" ref="E76:U76">+E78+E79+E80</f>
        <v>12772.4</v>
      </c>
      <c r="F76" s="51">
        <f t="shared" si="27"/>
        <v>0</v>
      </c>
      <c r="G76" s="51">
        <f t="shared" si="6"/>
        <v>22600</v>
      </c>
      <c r="H76" s="51">
        <f t="shared" si="27"/>
        <v>22600</v>
      </c>
      <c r="I76" s="51">
        <f t="shared" si="27"/>
        <v>0</v>
      </c>
      <c r="J76" s="51">
        <f t="shared" si="7"/>
        <v>20000</v>
      </c>
      <c r="K76" s="79">
        <f t="shared" si="27"/>
        <v>20000</v>
      </c>
      <c r="L76" s="79">
        <f t="shared" si="27"/>
        <v>0</v>
      </c>
      <c r="M76" s="51">
        <f t="shared" si="22"/>
        <v>-2600</v>
      </c>
      <c r="N76" s="51">
        <f t="shared" si="23"/>
        <v>-2600</v>
      </c>
      <c r="O76" s="51">
        <f t="shared" si="24"/>
        <v>0</v>
      </c>
      <c r="P76" s="51">
        <f t="shared" si="8"/>
        <v>20000</v>
      </c>
      <c r="Q76" s="51">
        <f t="shared" si="25"/>
        <v>20000</v>
      </c>
      <c r="R76" s="51">
        <f t="shared" si="27"/>
        <v>0</v>
      </c>
      <c r="S76" s="51">
        <f t="shared" si="9"/>
        <v>20000</v>
      </c>
      <c r="T76" s="51">
        <f t="shared" si="26"/>
        <v>20000</v>
      </c>
      <c r="U76" s="51">
        <f t="shared" si="27"/>
        <v>0</v>
      </c>
      <c r="V76" s="52"/>
      <c r="W76" s="53"/>
      <c r="X76" s="53"/>
    </row>
    <row r="77" spans="1:24" ht="12.75" customHeight="1">
      <c r="A77" s="14"/>
      <c r="B77" s="13" t="s">
        <v>199</v>
      </c>
      <c r="C77" s="14"/>
      <c r="D77" s="51">
        <f t="shared" si="0"/>
        <v>0</v>
      </c>
      <c r="E77" s="54"/>
      <c r="F77" s="54"/>
      <c r="G77" s="51">
        <f t="shared" si="6"/>
        <v>0</v>
      </c>
      <c r="H77" s="54"/>
      <c r="I77" s="54"/>
      <c r="J77" s="51">
        <f t="shared" si="7"/>
        <v>0</v>
      </c>
      <c r="K77" s="75"/>
      <c r="L77" s="75"/>
      <c r="M77" s="51">
        <f t="shared" si="22"/>
        <v>0</v>
      </c>
      <c r="N77" s="51">
        <f t="shared" si="23"/>
        <v>0</v>
      </c>
      <c r="O77" s="51">
        <f t="shared" si="24"/>
        <v>0</v>
      </c>
      <c r="P77" s="51">
        <f t="shared" si="8"/>
        <v>0</v>
      </c>
      <c r="Q77" s="51">
        <f t="shared" si="25"/>
        <v>0</v>
      </c>
      <c r="R77" s="47"/>
      <c r="S77" s="51">
        <f t="shared" si="9"/>
        <v>0</v>
      </c>
      <c r="T77" s="51">
        <f t="shared" si="26"/>
        <v>0</v>
      </c>
      <c r="U77" s="47"/>
      <c r="V77" s="55"/>
      <c r="W77" s="50"/>
      <c r="X77" s="50"/>
    </row>
    <row r="78" spans="1:24" ht="26.25" customHeight="1">
      <c r="A78" s="14" t="s">
        <v>466</v>
      </c>
      <c r="B78" s="13" t="s">
        <v>467</v>
      </c>
      <c r="C78" s="14" t="s">
        <v>468</v>
      </c>
      <c r="D78" s="51">
        <f aca="true" t="shared" si="28" ref="D78:D142">+E78+F78</f>
        <v>5637.2</v>
      </c>
      <c r="E78" s="54">
        <v>5637.2</v>
      </c>
      <c r="F78" s="54"/>
      <c r="G78" s="51">
        <f aca="true" t="shared" si="29" ref="G78:G141">+H78+I78</f>
        <v>0</v>
      </c>
      <c r="H78" s="54"/>
      <c r="I78" s="54"/>
      <c r="J78" s="51">
        <f aca="true" t="shared" si="30" ref="J78:J142">+K78+L78</f>
        <v>0</v>
      </c>
      <c r="K78" s="75"/>
      <c r="L78" s="75"/>
      <c r="M78" s="51">
        <f t="shared" si="22"/>
        <v>0</v>
      </c>
      <c r="N78" s="51">
        <f t="shared" si="23"/>
        <v>0</v>
      </c>
      <c r="O78" s="51">
        <f t="shared" si="24"/>
        <v>0</v>
      </c>
      <c r="P78" s="51">
        <f aca="true" t="shared" si="31" ref="P78:P142">+Q78+R78</f>
        <v>0</v>
      </c>
      <c r="Q78" s="51">
        <f t="shared" si="25"/>
        <v>0</v>
      </c>
      <c r="R78" s="47"/>
      <c r="S78" s="51">
        <f aca="true" t="shared" si="32" ref="S78:S142">+T78+U78</f>
        <v>0</v>
      </c>
      <c r="T78" s="51">
        <f t="shared" si="26"/>
        <v>0</v>
      </c>
      <c r="U78" s="47"/>
      <c r="V78" s="55"/>
      <c r="W78" s="50"/>
      <c r="X78" s="50"/>
    </row>
    <row r="79" spans="1:24" ht="26.25" customHeight="1">
      <c r="A79" s="14" t="s">
        <v>469</v>
      </c>
      <c r="B79" s="13" t="s">
        <v>470</v>
      </c>
      <c r="C79" s="14" t="s">
        <v>471</v>
      </c>
      <c r="D79" s="51">
        <f t="shared" si="28"/>
        <v>0</v>
      </c>
      <c r="E79" s="54"/>
      <c r="F79" s="54"/>
      <c r="G79" s="51">
        <f t="shared" si="29"/>
        <v>0</v>
      </c>
      <c r="H79" s="54"/>
      <c r="I79" s="54"/>
      <c r="J79" s="51">
        <f t="shared" si="30"/>
        <v>0</v>
      </c>
      <c r="K79" s="75"/>
      <c r="L79" s="75"/>
      <c r="M79" s="51">
        <f t="shared" si="22"/>
        <v>0</v>
      </c>
      <c r="N79" s="51">
        <f t="shared" si="23"/>
        <v>0</v>
      </c>
      <c r="O79" s="51">
        <f t="shared" si="24"/>
        <v>0</v>
      </c>
      <c r="P79" s="51">
        <f t="shared" si="31"/>
        <v>0</v>
      </c>
      <c r="Q79" s="51">
        <f t="shared" si="25"/>
        <v>0</v>
      </c>
      <c r="R79" s="47"/>
      <c r="S79" s="51">
        <f t="shared" si="32"/>
        <v>0</v>
      </c>
      <c r="T79" s="51">
        <f t="shared" si="26"/>
        <v>0</v>
      </c>
      <c r="U79" s="47"/>
      <c r="V79" s="55"/>
      <c r="W79" s="50"/>
      <c r="X79" s="50"/>
    </row>
    <row r="80" spans="1:24" ht="26.25" customHeight="1">
      <c r="A80" s="14" t="s">
        <v>472</v>
      </c>
      <c r="B80" s="13" t="s">
        <v>473</v>
      </c>
      <c r="C80" s="14" t="s">
        <v>474</v>
      </c>
      <c r="D80" s="51">
        <f t="shared" si="28"/>
        <v>7135.2</v>
      </c>
      <c r="E80" s="54">
        <v>7135.2</v>
      </c>
      <c r="F80" s="54"/>
      <c r="G80" s="51">
        <f t="shared" si="29"/>
        <v>22600</v>
      </c>
      <c r="H80" s="54">
        <v>22600</v>
      </c>
      <c r="I80" s="54"/>
      <c r="J80" s="51">
        <f t="shared" si="30"/>
        <v>20000</v>
      </c>
      <c r="K80" s="75">
        <v>20000</v>
      </c>
      <c r="L80" s="75"/>
      <c r="M80" s="51">
        <f t="shared" si="22"/>
        <v>-2600</v>
      </c>
      <c r="N80" s="51">
        <f t="shared" si="23"/>
        <v>-2600</v>
      </c>
      <c r="O80" s="51">
        <f t="shared" si="24"/>
        <v>0</v>
      </c>
      <c r="P80" s="51">
        <f t="shared" si="31"/>
        <v>20000</v>
      </c>
      <c r="Q80" s="51">
        <f t="shared" si="25"/>
        <v>20000</v>
      </c>
      <c r="R80" s="47"/>
      <c r="S80" s="51">
        <f t="shared" si="32"/>
        <v>20000</v>
      </c>
      <c r="T80" s="51">
        <f t="shared" si="26"/>
        <v>20000</v>
      </c>
      <c r="U80" s="47"/>
      <c r="V80" s="55"/>
      <c r="W80" s="50"/>
      <c r="X80" s="50"/>
    </row>
    <row r="81" spans="1:24" s="4" customFormat="1" ht="25.5" customHeight="1">
      <c r="A81" s="6" t="s">
        <v>475</v>
      </c>
      <c r="B81" s="11" t="s">
        <v>476</v>
      </c>
      <c r="C81" s="6" t="s">
        <v>376</v>
      </c>
      <c r="D81" s="51">
        <f t="shared" si="28"/>
        <v>8272.3</v>
      </c>
      <c r="E81" s="51">
        <f>+E83+E84</f>
        <v>8272.3</v>
      </c>
      <c r="F81" s="51">
        <f>+F83+F84</f>
        <v>0</v>
      </c>
      <c r="G81" s="51">
        <f t="shared" si="29"/>
        <v>0</v>
      </c>
      <c r="H81" s="51">
        <f>+H84</f>
        <v>0</v>
      </c>
      <c r="I81" s="51">
        <f>+I84</f>
        <v>0</v>
      </c>
      <c r="J81" s="51">
        <f t="shared" si="30"/>
        <v>0</v>
      </c>
      <c r="K81" s="79">
        <f>+K84</f>
        <v>0</v>
      </c>
      <c r="L81" s="79">
        <f>+L84</f>
        <v>0</v>
      </c>
      <c r="M81" s="51">
        <f t="shared" si="22"/>
        <v>0</v>
      </c>
      <c r="N81" s="51">
        <f t="shared" si="23"/>
        <v>0</v>
      </c>
      <c r="O81" s="51">
        <f t="shared" si="24"/>
        <v>0</v>
      </c>
      <c r="P81" s="51">
        <f t="shared" si="31"/>
        <v>0</v>
      </c>
      <c r="Q81" s="51">
        <f t="shared" si="25"/>
        <v>0</v>
      </c>
      <c r="R81" s="51">
        <f>+R84</f>
        <v>0</v>
      </c>
      <c r="S81" s="51">
        <f t="shared" si="32"/>
        <v>0</v>
      </c>
      <c r="T81" s="51">
        <f t="shared" si="26"/>
        <v>0</v>
      </c>
      <c r="U81" s="51">
        <f>+U84</f>
        <v>0</v>
      </c>
      <c r="V81" s="52"/>
      <c r="W81" s="53"/>
      <c r="X81" s="53"/>
    </row>
    <row r="82" spans="1:24" ht="12.75" customHeight="1">
      <c r="A82" s="14"/>
      <c r="B82" s="13" t="s">
        <v>199</v>
      </c>
      <c r="C82" s="14"/>
      <c r="D82" s="51">
        <f t="shared" si="28"/>
        <v>0</v>
      </c>
      <c r="E82" s="54"/>
      <c r="F82" s="54"/>
      <c r="G82" s="51">
        <f t="shared" si="29"/>
        <v>0</v>
      </c>
      <c r="H82" s="54"/>
      <c r="I82" s="54"/>
      <c r="J82" s="51">
        <f t="shared" si="30"/>
        <v>0</v>
      </c>
      <c r="K82" s="75"/>
      <c r="L82" s="75"/>
      <c r="M82" s="51">
        <f t="shared" si="22"/>
        <v>0</v>
      </c>
      <c r="N82" s="51">
        <f t="shared" si="23"/>
        <v>0</v>
      </c>
      <c r="O82" s="51">
        <f t="shared" si="24"/>
        <v>0</v>
      </c>
      <c r="P82" s="51">
        <f t="shared" si="31"/>
        <v>0</v>
      </c>
      <c r="Q82" s="51">
        <f t="shared" si="25"/>
        <v>0</v>
      </c>
      <c r="R82" s="47"/>
      <c r="S82" s="51">
        <f t="shared" si="32"/>
        <v>0</v>
      </c>
      <c r="T82" s="51">
        <f t="shared" si="26"/>
        <v>0</v>
      </c>
      <c r="U82" s="47"/>
      <c r="V82" s="55"/>
      <c r="W82" s="50"/>
      <c r="X82" s="50"/>
    </row>
    <row r="83" spans="1:24" ht="21" customHeight="1">
      <c r="A83" s="14"/>
      <c r="B83" s="13" t="s">
        <v>723</v>
      </c>
      <c r="C83" s="14">
        <v>4655</v>
      </c>
      <c r="D83" s="51">
        <f t="shared" si="28"/>
        <v>5272.3</v>
      </c>
      <c r="E83" s="54">
        <v>5272.3</v>
      </c>
      <c r="F83" s="54"/>
      <c r="G83" s="51"/>
      <c r="H83" s="54"/>
      <c r="I83" s="54"/>
      <c r="J83" s="51"/>
      <c r="K83" s="75"/>
      <c r="L83" s="75"/>
      <c r="M83" s="51">
        <f t="shared" si="22"/>
        <v>0</v>
      </c>
      <c r="N83" s="51">
        <f t="shared" si="23"/>
        <v>0</v>
      </c>
      <c r="O83" s="51">
        <f t="shared" si="24"/>
        <v>0</v>
      </c>
      <c r="P83" s="51"/>
      <c r="Q83" s="51">
        <f t="shared" si="25"/>
        <v>0</v>
      </c>
      <c r="R83" s="47"/>
      <c r="S83" s="51"/>
      <c r="T83" s="51">
        <f t="shared" si="26"/>
        <v>0</v>
      </c>
      <c r="U83" s="47"/>
      <c r="V83" s="55"/>
      <c r="W83" s="50"/>
      <c r="X83" s="50"/>
    </row>
    <row r="84" spans="1:24" ht="12.75" customHeight="1">
      <c r="A84" s="14" t="s">
        <v>477</v>
      </c>
      <c r="B84" s="13" t="s">
        <v>478</v>
      </c>
      <c r="C84" s="14" t="s">
        <v>479</v>
      </c>
      <c r="D84" s="51">
        <f t="shared" si="28"/>
        <v>3000</v>
      </c>
      <c r="E84" s="54">
        <v>3000</v>
      </c>
      <c r="F84" s="54"/>
      <c r="G84" s="51">
        <f t="shared" si="29"/>
        <v>0</v>
      </c>
      <c r="H84" s="54"/>
      <c r="I84" s="54"/>
      <c r="J84" s="51">
        <f t="shared" si="30"/>
        <v>0</v>
      </c>
      <c r="K84" s="75"/>
      <c r="L84" s="75"/>
      <c r="M84" s="51">
        <f t="shared" si="22"/>
        <v>0</v>
      </c>
      <c r="N84" s="51">
        <f t="shared" si="23"/>
        <v>0</v>
      </c>
      <c r="O84" s="51">
        <f t="shared" si="24"/>
        <v>0</v>
      </c>
      <c r="P84" s="51">
        <f t="shared" si="31"/>
        <v>0</v>
      </c>
      <c r="Q84" s="51">
        <f t="shared" si="25"/>
        <v>0</v>
      </c>
      <c r="R84" s="47"/>
      <c r="S84" s="51">
        <f t="shared" si="32"/>
        <v>0</v>
      </c>
      <c r="T84" s="51">
        <f t="shared" si="26"/>
        <v>0</v>
      </c>
      <c r="U84" s="47"/>
      <c r="V84" s="55"/>
      <c r="W84" s="50"/>
      <c r="X84" s="50"/>
    </row>
    <row r="85" spans="1:24" s="4" customFormat="1" ht="25.5" customHeight="1">
      <c r="A85" s="6" t="s">
        <v>480</v>
      </c>
      <c r="B85" s="11" t="s">
        <v>481</v>
      </c>
      <c r="C85" s="6" t="s">
        <v>376</v>
      </c>
      <c r="D85" s="51">
        <f t="shared" si="28"/>
        <v>37168.5</v>
      </c>
      <c r="E85" s="51">
        <f>+E89+E90+E91+E92</f>
        <v>37168.5</v>
      </c>
      <c r="F85" s="51">
        <f>+F89+F90+F91+F92</f>
        <v>0</v>
      </c>
      <c r="G85" s="51">
        <f t="shared" si="29"/>
        <v>29000</v>
      </c>
      <c r="H85" s="51">
        <f>+H91+H92</f>
        <v>29000</v>
      </c>
      <c r="I85" s="51">
        <f>+I91+I92</f>
        <v>0</v>
      </c>
      <c r="J85" s="51">
        <f t="shared" si="30"/>
        <v>12000</v>
      </c>
      <c r="K85" s="79">
        <f>+K91+K92</f>
        <v>12000</v>
      </c>
      <c r="L85" s="79">
        <f>+L91+L92</f>
        <v>0</v>
      </c>
      <c r="M85" s="51">
        <f t="shared" si="22"/>
        <v>-17000</v>
      </c>
      <c r="N85" s="51">
        <f t="shared" si="23"/>
        <v>-17000</v>
      </c>
      <c r="O85" s="51">
        <f t="shared" si="24"/>
        <v>0</v>
      </c>
      <c r="P85" s="51">
        <f t="shared" si="31"/>
        <v>12000</v>
      </c>
      <c r="Q85" s="51">
        <f t="shared" si="25"/>
        <v>12000</v>
      </c>
      <c r="R85" s="51">
        <f>+R91+R92</f>
        <v>0</v>
      </c>
      <c r="S85" s="51">
        <f t="shared" si="32"/>
        <v>12000</v>
      </c>
      <c r="T85" s="51">
        <f t="shared" si="26"/>
        <v>12000</v>
      </c>
      <c r="U85" s="51">
        <f>+U91+U92</f>
        <v>0</v>
      </c>
      <c r="V85" s="52"/>
      <c r="W85" s="53"/>
      <c r="X85" s="53"/>
    </row>
    <row r="86" spans="1:24" ht="12.75" customHeight="1">
      <c r="A86" s="14"/>
      <c r="B86" s="13" t="s">
        <v>5</v>
      </c>
      <c r="C86" s="14"/>
      <c r="D86" s="51">
        <f t="shared" si="28"/>
        <v>0</v>
      </c>
      <c r="E86" s="54"/>
      <c r="F86" s="54"/>
      <c r="G86" s="51">
        <f t="shared" si="29"/>
        <v>0</v>
      </c>
      <c r="H86" s="54"/>
      <c r="I86" s="54"/>
      <c r="J86" s="51">
        <f t="shared" si="30"/>
        <v>0</v>
      </c>
      <c r="K86" s="75"/>
      <c r="L86" s="75"/>
      <c r="M86" s="51">
        <f t="shared" si="22"/>
        <v>0</v>
      </c>
      <c r="N86" s="51">
        <f t="shared" si="23"/>
        <v>0</v>
      </c>
      <c r="O86" s="51">
        <f t="shared" si="24"/>
        <v>0</v>
      </c>
      <c r="P86" s="51">
        <f t="shared" si="31"/>
        <v>0</v>
      </c>
      <c r="Q86" s="51">
        <f t="shared" si="25"/>
        <v>0</v>
      </c>
      <c r="R86" s="47"/>
      <c r="S86" s="51">
        <f t="shared" si="32"/>
        <v>0</v>
      </c>
      <c r="T86" s="51">
        <f t="shared" si="26"/>
        <v>0</v>
      </c>
      <c r="U86" s="47"/>
      <c r="V86" s="55"/>
      <c r="W86" s="50"/>
      <c r="X86" s="50"/>
    </row>
    <row r="87" spans="1:24" s="4" customFormat="1" ht="25.5" customHeight="1">
      <c r="A87" s="6" t="s">
        <v>482</v>
      </c>
      <c r="B87" s="11" t="s">
        <v>483</v>
      </c>
      <c r="C87" s="6" t="s">
        <v>376</v>
      </c>
      <c r="D87" s="51">
        <f t="shared" si="28"/>
        <v>0</v>
      </c>
      <c r="E87" s="51"/>
      <c r="F87" s="51"/>
      <c r="G87" s="51">
        <f t="shared" si="29"/>
        <v>0</v>
      </c>
      <c r="H87" s="51"/>
      <c r="I87" s="51"/>
      <c r="J87" s="51">
        <f t="shared" si="30"/>
        <v>0</v>
      </c>
      <c r="K87" s="73"/>
      <c r="L87" s="73"/>
      <c r="M87" s="51">
        <f t="shared" si="22"/>
        <v>0</v>
      </c>
      <c r="N87" s="51">
        <f t="shared" si="23"/>
        <v>0</v>
      </c>
      <c r="O87" s="51">
        <f t="shared" si="24"/>
        <v>0</v>
      </c>
      <c r="P87" s="51">
        <f t="shared" si="31"/>
        <v>0</v>
      </c>
      <c r="Q87" s="51">
        <f t="shared" si="25"/>
        <v>0</v>
      </c>
      <c r="R87" s="45"/>
      <c r="S87" s="51">
        <f t="shared" si="32"/>
        <v>0</v>
      </c>
      <c r="T87" s="51">
        <f t="shared" si="26"/>
        <v>0</v>
      </c>
      <c r="U87" s="45"/>
      <c r="V87" s="52"/>
      <c r="W87" s="53"/>
      <c r="X87" s="53"/>
    </row>
    <row r="88" spans="1:24" ht="12.75" customHeight="1">
      <c r="A88" s="14"/>
      <c r="B88" s="13" t="s">
        <v>199</v>
      </c>
      <c r="C88" s="14"/>
      <c r="D88" s="51">
        <f t="shared" si="28"/>
        <v>0</v>
      </c>
      <c r="E88" s="54"/>
      <c r="F88" s="54"/>
      <c r="G88" s="51">
        <f t="shared" si="29"/>
        <v>0</v>
      </c>
      <c r="H88" s="54"/>
      <c r="I88" s="54"/>
      <c r="J88" s="51">
        <f t="shared" si="30"/>
        <v>0</v>
      </c>
      <c r="K88" s="75"/>
      <c r="L88" s="75"/>
      <c r="M88" s="51">
        <f t="shared" si="22"/>
        <v>0</v>
      </c>
      <c r="N88" s="51">
        <f t="shared" si="23"/>
        <v>0</v>
      </c>
      <c r="O88" s="51">
        <f t="shared" si="24"/>
        <v>0</v>
      </c>
      <c r="P88" s="51">
        <f t="shared" si="31"/>
        <v>0</v>
      </c>
      <c r="Q88" s="51">
        <f t="shared" si="25"/>
        <v>0</v>
      </c>
      <c r="R88" s="47"/>
      <c r="S88" s="51">
        <f t="shared" si="32"/>
        <v>0</v>
      </c>
      <c r="T88" s="51">
        <f t="shared" si="26"/>
        <v>0</v>
      </c>
      <c r="U88" s="47"/>
      <c r="V88" s="55"/>
      <c r="W88" s="50"/>
      <c r="X88" s="50"/>
    </row>
    <row r="89" spans="1:24" ht="12.75" customHeight="1">
      <c r="A89" s="14">
        <v>4631</v>
      </c>
      <c r="B89" s="13" t="s">
        <v>724</v>
      </c>
      <c r="C89" s="14">
        <v>4726</v>
      </c>
      <c r="D89" s="51">
        <f t="shared" si="28"/>
        <v>1240</v>
      </c>
      <c r="E89" s="54">
        <v>1240</v>
      </c>
      <c r="F89" s="54"/>
      <c r="G89" s="51"/>
      <c r="H89" s="54"/>
      <c r="I89" s="54"/>
      <c r="J89" s="51"/>
      <c r="K89" s="75"/>
      <c r="L89" s="75"/>
      <c r="M89" s="51">
        <f t="shared" si="22"/>
        <v>0</v>
      </c>
      <c r="N89" s="51">
        <f t="shared" si="23"/>
        <v>0</v>
      </c>
      <c r="O89" s="51">
        <f t="shared" si="24"/>
        <v>0</v>
      </c>
      <c r="P89" s="51"/>
      <c r="Q89" s="51">
        <f t="shared" si="25"/>
        <v>0</v>
      </c>
      <c r="R89" s="47"/>
      <c r="S89" s="51"/>
      <c r="T89" s="51">
        <f t="shared" si="26"/>
        <v>0</v>
      </c>
      <c r="U89" s="47"/>
      <c r="V89" s="55"/>
      <c r="W89" s="50"/>
      <c r="X89" s="50"/>
    </row>
    <row r="90" spans="1:24" ht="12.75" customHeight="1">
      <c r="A90" s="14">
        <v>4632</v>
      </c>
      <c r="B90" s="13" t="s">
        <v>725</v>
      </c>
      <c r="C90" s="14">
        <v>4727</v>
      </c>
      <c r="D90" s="51">
        <f t="shared" si="28"/>
        <v>180</v>
      </c>
      <c r="E90" s="54">
        <v>180</v>
      </c>
      <c r="F90" s="54"/>
      <c r="G90" s="51"/>
      <c r="H90" s="54"/>
      <c r="I90" s="54"/>
      <c r="J90" s="51"/>
      <c r="K90" s="75"/>
      <c r="L90" s="75"/>
      <c r="M90" s="51">
        <f t="shared" si="22"/>
        <v>0</v>
      </c>
      <c r="N90" s="51">
        <f t="shared" si="23"/>
        <v>0</v>
      </c>
      <c r="O90" s="51">
        <f t="shared" si="24"/>
        <v>0</v>
      </c>
      <c r="P90" s="51"/>
      <c r="Q90" s="51">
        <f t="shared" si="25"/>
        <v>0</v>
      </c>
      <c r="R90" s="47"/>
      <c r="S90" s="51"/>
      <c r="T90" s="51">
        <f t="shared" si="26"/>
        <v>0</v>
      </c>
      <c r="U90" s="47"/>
      <c r="V90" s="55"/>
      <c r="W90" s="50"/>
      <c r="X90" s="50"/>
    </row>
    <row r="91" spans="1:24" ht="18" customHeight="1">
      <c r="A91" s="14" t="s">
        <v>484</v>
      </c>
      <c r="B91" s="13" t="s">
        <v>485</v>
      </c>
      <c r="C91" s="14" t="s">
        <v>486</v>
      </c>
      <c r="D91" s="51">
        <f t="shared" si="28"/>
        <v>0</v>
      </c>
      <c r="E91" s="54"/>
      <c r="F91" s="54"/>
      <c r="G91" s="51">
        <f t="shared" si="29"/>
        <v>0</v>
      </c>
      <c r="H91" s="54"/>
      <c r="I91" s="54"/>
      <c r="J91" s="51">
        <f t="shared" si="30"/>
        <v>0</v>
      </c>
      <c r="K91" s="75"/>
      <c r="L91" s="75"/>
      <c r="M91" s="51">
        <f t="shared" si="22"/>
        <v>0</v>
      </c>
      <c r="N91" s="51">
        <f t="shared" si="23"/>
        <v>0</v>
      </c>
      <c r="O91" s="51">
        <f t="shared" si="24"/>
        <v>0</v>
      </c>
      <c r="P91" s="51">
        <f t="shared" si="31"/>
        <v>0</v>
      </c>
      <c r="Q91" s="51">
        <f t="shared" si="25"/>
        <v>0</v>
      </c>
      <c r="R91" s="47"/>
      <c r="S91" s="51">
        <f t="shared" si="32"/>
        <v>0</v>
      </c>
      <c r="T91" s="51">
        <f t="shared" si="26"/>
        <v>0</v>
      </c>
      <c r="U91" s="47"/>
      <c r="V91" s="55"/>
      <c r="W91" s="50"/>
      <c r="X91" s="50"/>
    </row>
    <row r="92" spans="1:24" ht="18" customHeight="1">
      <c r="A92" s="14" t="s">
        <v>487</v>
      </c>
      <c r="B92" s="13" t="s">
        <v>488</v>
      </c>
      <c r="C92" s="14" t="s">
        <v>489</v>
      </c>
      <c r="D92" s="51">
        <f t="shared" si="28"/>
        <v>35748.5</v>
      </c>
      <c r="E92" s="54">
        <v>35748.5</v>
      </c>
      <c r="F92" s="54"/>
      <c r="G92" s="51">
        <f t="shared" si="29"/>
        <v>29000</v>
      </c>
      <c r="H92" s="54">
        <v>29000</v>
      </c>
      <c r="I92" s="54"/>
      <c r="J92" s="51">
        <f t="shared" si="30"/>
        <v>12000</v>
      </c>
      <c r="K92" s="73">
        <v>12000</v>
      </c>
      <c r="L92" s="73"/>
      <c r="M92" s="51">
        <f t="shared" si="22"/>
        <v>-17000</v>
      </c>
      <c r="N92" s="51">
        <f t="shared" si="23"/>
        <v>-17000</v>
      </c>
      <c r="O92" s="51">
        <f t="shared" si="24"/>
        <v>0</v>
      </c>
      <c r="P92" s="51">
        <f t="shared" si="31"/>
        <v>12000</v>
      </c>
      <c r="Q92" s="51">
        <f t="shared" si="25"/>
        <v>12000</v>
      </c>
      <c r="R92" s="45"/>
      <c r="S92" s="51">
        <f t="shared" si="32"/>
        <v>12000</v>
      </c>
      <c r="T92" s="51">
        <f t="shared" si="26"/>
        <v>12000</v>
      </c>
      <c r="U92" s="45"/>
      <c r="V92" s="55"/>
      <c r="W92" s="50"/>
      <c r="X92" s="50"/>
    </row>
    <row r="93" spans="1:24" s="4" customFormat="1" ht="25.5" customHeight="1">
      <c r="A93" s="6" t="s">
        <v>490</v>
      </c>
      <c r="B93" s="11" t="s">
        <v>491</v>
      </c>
      <c r="C93" s="6" t="s">
        <v>376</v>
      </c>
      <c r="D93" s="51">
        <f>+E93+F93-59064.2</f>
        <v>11801.600000000006</v>
      </c>
      <c r="E93" s="51">
        <f aca="true" t="shared" si="33" ref="E93:U93">+E95+E98+E102+E104+E107</f>
        <v>70865.8</v>
      </c>
      <c r="F93" s="51">
        <f t="shared" si="33"/>
        <v>0</v>
      </c>
      <c r="G93" s="51">
        <f t="shared" si="29"/>
        <v>191010</v>
      </c>
      <c r="H93" s="51">
        <f t="shared" si="33"/>
        <v>191010</v>
      </c>
      <c r="I93" s="51">
        <f t="shared" si="33"/>
        <v>0</v>
      </c>
      <c r="J93" s="51">
        <f t="shared" si="30"/>
        <v>201510</v>
      </c>
      <c r="K93" s="79">
        <f t="shared" si="33"/>
        <v>201510</v>
      </c>
      <c r="L93" s="79">
        <f t="shared" si="33"/>
        <v>0</v>
      </c>
      <c r="M93" s="51">
        <f t="shared" si="22"/>
        <v>10500</v>
      </c>
      <c r="N93" s="51">
        <f t="shared" si="23"/>
        <v>10500</v>
      </c>
      <c r="O93" s="51">
        <f t="shared" si="24"/>
        <v>0</v>
      </c>
      <c r="P93" s="51">
        <f t="shared" si="31"/>
        <v>201510</v>
      </c>
      <c r="Q93" s="51">
        <f t="shared" si="25"/>
        <v>201510</v>
      </c>
      <c r="R93" s="51">
        <f t="shared" si="33"/>
        <v>0</v>
      </c>
      <c r="S93" s="51">
        <f t="shared" si="32"/>
        <v>201510</v>
      </c>
      <c r="T93" s="51">
        <f t="shared" si="26"/>
        <v>201510</v>
      </c>
      <c r="U93" s="51">
        <f t="shared" si="33"/>
        <v>0</v>
      </c>
      <c r="V93" s="52"/>
      <c r="W93" s="53"/>
      <c r="X93" s="53"/>
    </row>
    <row r="94" spans="1:24" ht="12.75" customHeight="1">
      <c r="A94" s="14"/>
      <c r="B94" s="13" t="s">
        <v>5</v>
      </c>
      <c r="C94" s="14"/>
      <c r="D94" s="51">
        <f t="shared" si="28"/>
        <v>0</v>
      </c>
      <c r="E94" s="54"/>
      <c r="F94" s="54"/>
      <c r="G94" s="51"/>
      <c r="H94" s="54"/>
      <c r="I94" s="54"/>
      <c r="J94" s="51"/>
      <c r="K94" s="75"/>
      <c r="L94" s="75"/>
      <c r="M94" s="51">
        <f t="shared" si="22"/>
        <v>0</v>
      </c>
      <c r="N94" s="51">
        <f t="shared" si="23"/>
        <v>0</v>
      </c>
      <c r="O94" s="51">
        <f t="shared" si="24"/>
        <v>0</v>
      </c>
      <c r="P94" s="51"/>
      <c r="Q94" s="51">
        <f t="shared" si="25"/>
        <v>0</v>
      </c>
      <c r="R94" s="47"/>
      <c r="S94" s="51"/>
      <c r="T94" s="51">
        <f t="shared" si="26"/>
        <v>0</v>
      </c>
      <c r="U94" s="47"/>
      <c r="V94" s="55"/>
      <c r="W94" s="50"/>
      <c r="X94" s="50"/>
    </row>
    <row r="95" spans="1:24" s="4" customFormat="1" ht="25.5" customHeight="1">
      <c r="A95" s="6" t="s">
        <v>492</v>
      </c>
      <c r="B95" s="11" t="s">
        <v>493</v>
      </c>
      <c r="C95" s="6" t="s">
        <v>376</v>
      </c>
      <c r="D95" s="51">
        <f t="shared" si="28"/>
        <v>350</v>
      </c>
      <c r="E95" s="51">
        <f aca="true" t="shared" si="34" ref="E95:U95">+E97</f>
        <v>350</v>
      </c>
      <c r="F95" s="51">
        <f t="shared" si="34"/>
        <v>0</v>
      </c>
      <c r="G95" s="51">
        <f t="shared" si="29"/>
        <v>5000</v>
      </c>
      <c r="H95" s="51">
        <f t="shared" si="34"/>
        <v>5000</v>
      </c>
      <c r="I95" s="51">
        <f t="shared" si="34"/>
        <v>0</v>
      </c>
      <c r="J95" s="51">
        <f t="shared" si="30"/>
        <v>2000</v>
      </c>
      <c r="K95" s="79">
        <f t="shared" si="34"/>
        <v>2000</v>
      </c>
      <c r="L95" s="79">
        <f t="shared" si="34"/>
        <v>0</v>
      </c>
      <c r="M95" s="51">
        <f t="shared" si="22"/>
        <v>-3000</v>
      </c>
      <c r="N95" s="51">
        <f t="shared" si="23"/>
        <v>-3000</v>
      </c>
      <c r="O95" s="51">
        <f t="shared" si="24"/>
        <v>0</v>
      </c>
      <c r="P95" s="51">
        <f t="shared" si="31"/>
        <v>2000</v>
      </c>
      <c r="Q95" s="51">
        <f t="shared" si="25"/>
        <v>2000</v>
      </c>
      <c r="R95" s="51">
        <f t="shared" si="34"/>
        <v>0</v>
      </c>
      <c r="S95" s="51">
        <f t="shared" si="32"/>
        <v>2000</v>
      </c>
      <c r="T95" s="51">
        <f t="shared" si="26"/>
        <v>2000</v>
      </c>
      <c r="U95" s="51">
        <f t="shared" si="34"/>
        <v>0</v>
      </c>
      <c r="V95" s="52"/>
      <c r="W95" s="53"/>
      <c r="X95" s="53"/>
    </row>
    <row r="96" spans="1:24" ht="12.75" customHeight="1">
      <c r="A96" s="14"/>
      <c r="B96" s="13" t="s">
        <v>199</v>
      </c>
      <c r="C96" s="14"/>
      <c r="D96" s="51">
        <f t="shared" si="28"/>
        <v>0</v>
      </c>
      <c r="E96" s="54"/>
      <c r="F96" s="54"/>
      <c r="G96" s="51">
        <f t="shared" si="29"/>
        <v>0</v>
      </c>
      <c r="H96" s="54"/>
      <c r="I96" s="54"/>
      <c r="J96" s="51">
        <f t="shared" si="30"/>
        <v>0</v>
      </c>
      <c r="K96" s="75"/>
      <c r="L96" s="75"/>
      <c r="M96" s="51">
        <f t="shared" si="22"/>
        <v>0</v>
      </c>
      <c r="N96" s="51">
        <f t="shared" si="23"/>
        <v>0</v>
      </c>
      <c r="O96" s="51">
        <f t="shared" si="24"/>
        <v>0</v>
      </c>
      <c r="P96" s="51">
        <f t="shared" si="31"/>
        <v>0</v>
      </c>
      <c r="Q96" s="51">
        <f t="shared" si="25"/>
        <v>0</v>
      </c>
      <c r="R96" s="47"/>
      <c r="S96" s="51">
        <f t="shared" si="32"/>
        <v>0</v>
      </c>
      <c r="T96" s="51">
        <f t="shared" si="26"/>
        <v>0</v>
      </c>
      <c r="U96" s="47"/>
      <c r="V96" s="55"/>
      <c r="W96" s="50"/>
      <c r="X96" s="50"/>
    </row>
    <row r="97" spans="1:24" s="4" customFormat="1" ht="38.25" customHeight="1">
      <c r="A97" s="6" t="s">
        <v>494</v>
      </c>
      <c r="B97" s="15" t="s">
        <v>495</v>
      </c>
      <c r="C97" s="6" t="s">
        <v>496</v>
      </c>
      <c r="D97" s="51">
        <f t="shared" si="28"/>
        <v>350</v>
      </c>
      <c r="E97" s="51">
        <v>350</v>
      </c>
      <c r="F97" s="51"/>
      <c r="G97" s="51">
        <f t="shared" si="29"/>
        <v>5000</v>
      </c>
      <c r="H97" s="51">
        <v>5000</v>
      </c>
      <c r="I97" s="51"/>
      <c r="J97" s="51">
        <f t="shared" si="30"/>
        <v>2000</v>
      </c>
      <c r="K97" s="73">
        <v>2000</v>
      </c>
      <c r="L97" s="73"/>
      <c r="M97" s="51">
        <f t="shared" si="22"/>
        <v>-3000</v>
      </c>
      <c r="N97" s="51">
        <f t="shared" si="23"/>
        <v>-3000</v>
      </c>
      <c r="O97" s="51">
        <f t="shared" si="24"/>
        <v>0</v>
      </c>
      <c r="P97" s="51">
        <f t="shared" si="31"/>
        <v>2000</v>
      </c>
      <c r="Q97" s="51">
        <f t="shared" si="25"/>
        <v>2000</v>
      </c>
      <c r="R97" s="45"/>
      <c r="S97" s="51">
        <f t="shared" si="32"/>
        <v>2000</v>
      </c>
      <c r="T97" s="51">
        <f t="shared" si="26"/>
        <v>2000</v>
      </c>
      <c r="U97" s="45"/>
      <c r="V97" s="52"/>
      <c r="W97" s="53"/>
      <c r="X97" s="53"/>
    </row>
    <row r="98" spans="1:24" s="4" customFormat="1" ht="43.5" customHeight="1">
      <c r="A98" s="6" t="s">
        <v>497</v>
      </c>
      <c r="B98" s="11" t="s">
        <v>498</v>
      </c>
      <c r="C98" s="6" t="s">
        <v>376</v>
      </c>
      <c r="D98" s="51">
        <f t="shared" si="28"/>
        <v>11451.6</v>
      </c>
      <c r="E98" s="51">
        <f aca="true" t="shared" si="35" ref="E98:U98">+E100+E101</f>
        <v>11451.6</v>
      </c>
      <c r="F98" s="51">
        <f t="shared" si="35"/>
        <v>0</v>
      </c>
      <c r="G98" s="51">
        <f t="shared" si="29"/>
        <v>24010</v>
      </c>
      <c r="H98" s="51">
        <f t="shared" si="35"/>
        <v>24010</v>
      </c>
      <c r="I98" s="51">
        <f t="shared" si="35"/>
        <v>0</v>
      </c>
      <c r="J98" s="51">
        <f t="shared" si="30"/>
        <v>19510</v>
      </c>
      <c r="K98" s="79">
        <f t="shared" si="35"/>
        <v>19510</v>
      </c>
      <c r="L98" s="79">
        <f t="shared" si="35"/>
        <v>0</v>
      </c>
      <c r="M98" s="51">
        <f t="shared" si="22"/>
        <v>-4500</v>
      </c>
      <c r="N98" s="51">
        <f t="shared" si="23"/>
        <v>-4500</v>
      </c>
      <c r="O98" s="51">
        <f t="shared" si="24"/>
        <v>0</v>
      </c>
      <c r="P98" s="51">
        <f t="shared" si="31"/>
        <v>19510</v>
      </c>
      <c r="Q98" s="51">
        <f t="shared" si="25"/>
        <v>19510</v>
      </c>
      <c r="R98" s="51">
        <f t="shared" si="35"/>
        <v>0</v>
      </c>
      <c r="S98" s="51">
        <f t="shared" si="32"/>
        <v>19510</v>
      </c>
      <c r="T98" s="51">
        <f t="shared" si="26"/>
        <v>19510</v>
      </c>
      <c r="U98" s="51">
        <f t="shared" si="35"/>
        <v>0</v>
      </c>
      <c r="V98" s="52"/>
      <c r="W98" s="53"/>
      <c r="X98" s="53"/>
    </row>
    <row r="99" spans="1:24" ht="12.75" customHeight="1">
      <c r="A99" s="14"/>
      <c r="B99" s="13" t="s">
        <v>199</v>
      </c>
      <c r="C99" s="14"/>
      <c r="D99" s="51">
        <f t="shared" si="28"/>
        <v>0</v>
      </c>
      <c r="E99" s="54"/>
      <c r="F99" s="54"/>
      <c r="G99" s="51">
        <f t="shared" si="29"/>
        <v>0</v>
      </c>
      <c r="H99" s="54"/>
      <c r="I99" s="54"/>
      <c r="J99" s="51">
        <f t="shared" si="30"/>
        <v>0</v>
      </c>
      <c r="K99" s="75"/>
      <c r="L99" s="75"/>
      <c r="M99" s="51">
        <f t="shared" si="22"/>
        <v>0</v>
      </c>
      <c r="N99" s="51">
        <f t="shared" si="23"/>
        <v>0</v>
      </c>
      <c r="O99" s="51">
        <f t="shared" si="24"/>
        <v>0</v>
      </c>
      <c r="P99" s="51">
        <f t="shared" si="31"/>
        <v>0</v>
      </c>
      <c r="Q99" s="51">
        <f t="shared" si="25"/>
        <v>0</v>
      </c>
      <c r="R99" s="47"/>
      <c r="S99" s="51">
        <f t="shared" si="32"/>
        <v>0</v>
      </c>
      <c r="T99" s="51">
        <f t="shared" si="26"/>
        <v>0</v>
      </c>
      <c r="U99" s="47"/>
      <c r="V99" s="55"/>
      <c r="W99" s="50"/>
      <c r="X99" s="50"/>
    </row>
    <row r="100" spans="1:24" ht="12.75" customHeight="1">
      <c r="A100" s="14"/>
      <c r="B100" s="13" t="s">
        <v>624</v>
      </c>
      <c r="C100" s="14">
        <v>4822</v>
      </c>
      <c r="D100" s="51">
        <f t="shared" si="28"/>
        <v>18</v>
      </c>
      <c r="E100" s="54">
        <v>18</v>
      </c>
      <c r="F100" s="54"/>
      <c r="G100" s="51">
        <f t="shared" si="29"/>
        <v>1000</v>
      </c>
      <c r="H100" s="54">
        <v>1000</v>
      </c>
      <c r="I100" s="54"/>
      <c r="J100" s="51">
        <f t="shared" si="30"/>
        <v>500</v>
      </c>
      <c r="K100" s="75">
        <v>500</v>
      </c>
      <c r="L100" s="75"/>
      <c r="M100" s="51">
        <f t="shared" si="22"/>
        <v>-500</v>
      </c>
      <c r="N100" s="51">
        <f t="shared" si="23"/>
        <v>-500</v>
      </c>
      <c r="O100" s="51">
        <f t="shared" si="24"/>
        <v>0</v>
      </c>
      <c r="P100" s="51">
        <f t="shared" si="31"/>
        <v>500</v>
      </c>
      <c r="Q100" s="51">
        <f t="shared" si="25"/>
        <v>500</v>
      </c>
      <c r="R100" s="47"/>
      <c r="S100" s="51">
        <f t="shared" si="32"/>
        <v>500</v>
      </c>
      <c r="T100" s="51">
        <f t="shared" si="26"/>
        <v>500</v>
      </c>
      <c r="U100" s="47"/>
      <c r="V100" s="55"/>
      <c r="W100" s="50"/>
      <c r="X100" s="50"/>
    </row>
    <row r="101" spans="1:24" s="4" customFormat="1" ht="21.75" customHeight="1">
      <c r="A101" s="6" t="s">
        <v>499</v>
      </c>
      <c r="B101" s="15" t="s">
        <v>500</v>
      </c>
      <c r="C101" s="6" t="s">
        <v>501</v>
      </c>
      <c r="D101" s="51">
        <f t="shared" si="28"/>
        <v>11433.6</v>
      </c>
      <c r="E101" s="51">
        <v>11433.6</v>
      </c>
      <c r="F101" s="51"/>
      <c r="G101" s="51">
        <f t="shared" si="29"/>
        <v>23010</v>
      </c>
      <c r="H101" s="51">
        <v>23010</v>
      </c>
      <c r="I101" s="51"/>
      <c r="J101" s="51">
        <f t="shared" si="30"/>
        <v>19010</v>
      </c>
      <c r="K101" s="73">
        <v>19010</v>
      </c>
      <c r="L101" s="73"/>
      <c r="M101" s="51">
        <f t="shared" si="22"/>
        <v>-4000</v>
      </c>
      <c r="N101" s="51">
        <f t="shared" si="23"/>
        <v>-4000</v>
      </c>
      <c r="O101" s="51">
        <f t="shared" si="24"/>
        <v>0</v>
      </c>
      <c r="P101" s="51">
        <f t="shared" si="31"/>
        <v>19010</v>
      </c>
      <c r="Q101" s="51">
        <f t="shared" si="25"/>
        <v>19010</v>
      </c>
      <c r="R101" s="45"/>
      <c r="S101" s="51">
        <f t="shared" si="32"/>
        <v>19010</v>
      </c>
      <c r="T101" s="51">
        <f t="shared" si="26"/>
        <v>19010</v>
      </c>
      <c r="U101" s="45"/>
      <c r="V101" s="52"/>
      <c r="W101" s="53"/>
      <c r="X101" s="53"/>
    </row>
    <row r="102" spans="1:24" s="4" customFormat="1" ht="26.25" customHeight="1">
      <c r="A102" s="6">
        <v>4740</v>
      </c>
      <c r="B102" s="43" t="s">
        <v>692</v>
      </c>
      <c r="C102" s="6" t="s">
        <v>376</v>
      </c>
      <c r="D102" s="51">
        <f t="shared" si="28"/>
        <v>0</v>
      </c>
      <c r="E102" s="51">
        <f aca="true" t="shared" si="36" ref="E102:U102">+E103</f>
        <v>0</v>
      </c>
      <c r="F102" s="51">
        <f t="shared" si="36"/>
        <v>0</v>
      </c>
      <c r="G102" s="51">
        <f t="shared" si="29"/>
        <v>1000</v>
      </c>
      <c r="H102" s="51">
        <f t="shared" si="36"/>
        <v>1000</v>
      </c>
      <c r="I102" s="51">
        <f t="shared" si="36"/>
        <v>0</v>
      </c>
      <c r="J102" s="51">
        <f t="shared" si="30"/>
        <v>10000</v>
      </c>
      <c r="K102" s="79">
        <f t="shared" si="36"/>
        <v>10000</v>
      </c>
      <c r="L102" s="79">
        <f t="shared" si="36"/>
        <v>0</v>
      </c>
      <c r="M102" s="51">
        <f t="shared" si="22"/>
        <v>9000</v>
      </c>
      <c r="N102" s="51">
        <f t="shared" si="23"/>
        <v>9000</v>
      </c>
      <c r="O102" s="51">
        <f t="shared" si="24"/>
        <v>0</v>
      </c>
      <c r="P102" s="51">
        <f t="shared" si="31"/>
        <v>10000</v>
      </c>
      <c r="Q102" s="51">
        <f t="shared" si="25"/>
        <v>10000</v>
      </c>
      <c r="R102" s="51">
        <f t="shared" si="36"/>
        <v>0</v>
      </c>
      <c r="S102" s="51">
        <f t="shared" si="32"/>
        <v>10000</v>
      </c>
      <c r="T102" s="51">
        <f t="shared" si="26"/>
        <v>10000</v>
      </c>
      <c r="U102" s="51">
        <f t="shared" si="36"/>
        <v>0</v>
      </c>
      <c r="V102" s="52"/>
      <c r="W102" s="53"/>
      <c r="X102" s="53"/>
    </row>
    <row r="103" spans="1:24" s="4" customFormat="1" ht="30" customHeight="1">
      <c r="A103" s="6">
        <v>4741</v>
      </c>
      <c r="B103" s="43" t="s">
        <v>674</v>
      </c>
      <c r="C103" s="6">
        <v>4841</v>
      </c>
      <c r="D103" s="51">
        <f t="shared" si="28"/>
        <v>0</v>
      </c>
      <c r="E103" s="51"/>
      <c r="F103" s="51"/>
      <c r="G103" s="51">
        <f t="shared" si="29"/>
        <v>1000</v>
      </c>
      <c r="H103" s="51">
        <v>1000</v>
      </c>
      <c r="I103" s="51"/>
      <c r="J103" s="51">
        <f t="shared" si="30"/>
        <v>10000</v>
      </c>
      <c r="K103" s="73">
        <v>10000</v>
      </c>
      <c r="L103" s="73"/>
      <c r="M103" s="51">
        <f t="shared" si="22"/>
        <v>9000</v>
      </c>
      <c r="N103" s="51">
        <f t="shared" si="23"/>
        <v>9000</v>
      </c>
      <c r="O103" s="51">
        <f t="shared" si="24"/>
        <v>0</v>
      </c>
      <c r="P103" s="51">
        <f t="shared" si="31"/>
        <v>10000</v>
      </c>
      <c r="Q103" s="51">
        <f t="shared" si="25"/>
        <v>10000</v>
      </c>
      <c r="R103" s="45"/>
      <c r="S103" s="51">
        <f t="shared" si="32"/>
        <v>10000</v>
      </c>
      <c r="T103" s="51">
        <f t="shared" si="26"/>
        <v>10000</v>
      </c>
      <c r="U103" s="45"/>
      <c r="V103" s="52"/>
      <c r="W103" s="53"/>
      <c r="X103" s="53"/>
    </row>
    <row r="104" spans="1:24" s="4" customFormat="1" ht="19.5" customHeight="1">
      <c r="A104" s="6" t="s">
        <v>502</v>
      </c>
      <c r="B104" s="11" t="s">
        <v>503</v>
      </c>
      <c r="C104" s="6" t="s">
        <v>376</v>
      </c>
      <c r="D104" s="51">
        <f t="shared" si="28"/>
        <v>0</v>
      </c>
      <c r="E104" s="51">
        <f aca="true" t="shared" si="37" ref="E104:U104">+E106</f>
        <v>0</v>
      </c>
      <c r="F104" s="51">
        <f t="shared" si="37"/>
        <v>0</v>
      </c>
      <c r="G104" s="51">
        <f t="shared" si="29"/>
        <v>0</v>
      </c>
      <c r="H104" s="51">
        <f t="shared" si="37"/>
        <v>0</v>
      </c>
      <c r="I104" s="51">
        <f t="shared" si="37"/>
        <v>0</v>
      </c>
      <c r="J104" s="51">
        <f t="shared" si="30"/>
        <v>0</v>
      </c>
      <c r="K104" s="79">
        <f t="shared" si="37"/>
        <v>0</v>
      </c>
      <c r="L104" s="79">
        <f t="shared" si="37"/>
        <v>0</v>
      </c>
      <c r="M104" s="51">
        <f t="shared" si="22"/>
        <v>0</v>
      </c>
      <c r="N104" s="51">
        <f t="shared" si="23"/>
        <v>0</v>
      </c>
      <c r="O104" s="51">
        <f t="shared" si="24"/>
        <v>0</v>
      </c>
      <c r="P104" s="51">
        <f t="shared" si="31"/>
        <v>0</v>
      </c>
      <c r="Q104" s="51">
        <f t="shared" si="25"/>
        <v>0</v>
      </c>
      <c r="R104" s="51">
        <f t="shared" si="37"/>
        <v>0</v>
      </c>
      <c r="S104" s="51">
        <f t="shared" si="32"/>
        <v>0</v>
      </c>
      <c r="T104" s="51">
        <f t="shared" si="26"/>
        <v>0</v>
      </c>
      <c r="U104" s="51">
        <f t="shared" si="37"/>
        <v>0</v>
      </c>
      <c r="V104" s="52"/>
      <c r="W104" s="53"/>
      <c r="X104" s="53"/>
    </row>
    <row r="105" spans="1:24" ht="12.75" customHeight="1">
      <c r="A105" s="14"/>
      <c r="B105" s="13" t="s">
        <v>199</v>
      </c>
      <c r="C105" s="14"/>
      <c r="D105" s="51">
        <f t="shared" si="28"/>
        <v>0</v>
      </c>
      <c r="E105" s="54"/>
      <c r="F105" s="54"/>
      <c r="G105" s="51">
        <f t="shared" si="29"/>
        <v>0</v>
      </c>
      <c r="H105" s="54"/>
      <c r="I105" s="54"/>
      <c r="J105" s="51">
        <f t="shared" si="30"/>
        <v>0</v>
      </c>
      <c r="K105" s="75"/>
      <c r="L105" s="75"/>
      <c r="M105" s="51">
        <f t="shared" si="22"/>
        <v>0</v>
      </c>
      <c r="N105" s="51">
        <f t="shared" si="23"/>
        <v>0</v>
      </c>
      <c r="O105" s="51">
        <f t="shared" si="24"/>
        <v>0</v>
      </c>
      <c r="P105" s="51">
        <f t="shared" si="31"/>
        <v>0</v>
      </c>
      <c r="Q105" s="51">
        <f t="shared" si="25"/>
        <v>0</v>
      </c>
      <c r="R105" s="47"/>
      <c r="S105" s="51">
        <f t="shared" si="32"/>
        <v>0</v>
      </c>
      <c r="T105" s="51">
        <f t="shared" si="26"/>
        <v>0</v>
      </c>
      <c r="U105" s="47"/>
      <c r="V105" s="55"/>
      <c r="W105" s="50"/>
      <c r="X105" s="50"/>
    </row>
    <row r="106" spans="1:24" s="4" customFormat="1" ht="20.25" customHeight="1">
      <c r="A106" s="6" t="s">
        <v>504</v>
      </c>
      <c r="B106" s="15" t="s">
        <v>505</v>
      </c>
      <c r="C106" s="6" t="s">
        <v>506</v>
      </c>
      <c r="D106" s="51">
        <f t="shared" si="28"/>
        <v>0</v>
      </c>
      <c r="E106" s="51"/>
      <c r="F106" s="51"/>
      <c r="G106" s="51">
        <f t="shared" si="29"/>
        <v>0</v>
      </c>
      <c r="H106" s="51"/>
      <c r="I106" s="51"/>
      <c r="J106" s="51">
        <f t="shared" si="30"/>
        <v>0</v>
      </c>
      <c r="K106" s="73"/>
      <c r="L106" s="73"/>
      <c r="M106" s="51">
        <f t="shared" si="22"/>
        <v>0</v>
      </c>
      <c r="N106" s="51">
        <f t="shared" si="23"/>
        <v>0</v>
      </c>
      <c r="O106" s="51">
        <f t="shared" si="24"/>
        <v>0</v>
      </c>
      <c r="P106" s="51">
        <f t="shared" si="31"/>
        <v>0</v>
      </c>
      <c r="Q106" s="51">
        <f t="shared" si="25"/>
        <v>0</v>
      </c>
      <c r="R106" s="45"/>
      <c r="S106" s="51">
        <f t="shared" si="32"/>
        <v>0</v>
      </c>
      <c r="T106" s="51">
        <f t="shared" si="26"/>
        <v>0</v>
      </c>
      <c r="U106" s="45"/>
      <c r="V106" s="52"/>
      <c r="W106" s="53"/>
      <c r="X106" s="53"/>
    </row>
    <row r="107" spans="1:24" s="4" customFormat="1" ht="19.5" customHeight="1">
      <c r="A107" s="6" t="s">
        <v>507</v>
      </c>
      <c r="B107" s="11" t="s">
        <v>508</v>
      </c>
      <c r="C107" s="6" t="s">
        <v>376</v>
      </c>
      <c r="D107" s="51">
        <v>0</v>
      </c>
      <c r="E107" s="51">
        <f aca="true" t="shared" si="38" ref="E107:U107">+E109</f>
        <v>59064.2</v>
      </c>
      <c r="F107" s="51">
        <f t="shared" si="38"/>
        <v>0</v>
      </c>
      <c r="G107" s="51">
        <f t="shared" si="29"/>
        <v>161000</v>
      </c>
      <c r="H107" s="51">
        <f t="shared" si="38"/>
        <v>161000</v>
      </c>
      <c r="I107" s="51">
        <f t="shared" si="38"/>
        <v>0</v>
      </c>
      <c r="J107" s="51">
        <f t="shared" si="30"/>
        <v>170000</v>
      </c>
      <c r="K107" s="79">
        <f t="shared" si="38"/>
        <v>170000</v>
      </c>
      <c r="L107" s="79">
        <f t="shared" si="38"/>
        <v>0</v>
      </c>
      <c r="M107" s="51">
        <f t="shared" si="22"/>
        <v>9000</v>
      </c>
      <c r="N107" s="51">
        <f t="shared" si="23"/>
        <v>9000</v>
      </c>
      <c r="O107" s="51">
        <f t="shared" si="24"/>
        <v>0</v>
      </c>
      <c r="P107" s="51">
        <f t="shared" si="31"/>
        <v>170000</v>
      </c>
      <c r="Q107" s="51">
        <f t="shared" si="25"/>
        <v>170000</v>
      </c>
      <c r="R107" s="51">
        <f t="shared" si="38"/>
        <v>0</v>
      </c>
      <c r="S107" s="51">
        <f t="shared" si="32"/>
        <v>170000</v>
      </c>
      <c r="T107" s="51">
        <f t="shared" si="26"/>
        <v>170000</v>
      </c>
      <c r="U107" s="51">
        <f t="shared" si="38"/>
        <v>0</v>
      </c>
      <c r="V107" s="52"/>
      <c r="W107" s="53"/>
      <c r="X107" s="53"/>
    </row>
    <row r="108" spans="1:24" ht="12.75" customHeight="1">
      <c r="A108" s="14"/>
      <c r="B108" s="13" t="s">
        <v>199</v>
      </c>
      <c r="C108" s="14"/>
      <c r="D108" s="51">
        <f t="shared" si="28"/>
        <v>0</v>
      </c>
      <c r="E108" s="54"/>
      <c r="F108" s="54"/>
      <c r="G108" s="51">
        <f t="shared" si="29"/>
        <v>0</v>
      </c>
      <c r="H108" s="54"/>
      <c r="I108" s="54"/>
      <c r="J108" s="51">
        <f t="shared" si="30"/>
        <v>0</v>
      </c>
      <c r="K108" s="75"/>
      <c r="L108" s="75"/>
      <c r="M108" s="51">
        <f t="shared" si="22"/>
        <v>0</v>
      </c>
      <c r="N108" s="51">
        <f t="shared" si="23"/>
        <v>0</v>
      </c>
      <c r="O108" s="51">
        <f t="shared" si="24"/>
        <v>0</v>
      </c>
      <c r="P108" s="51">
        <f t="shared" si="31"/>
        <v>0</v>
      </c>
      <c r="Q108" s="51">
        <f t="shared" si="25"/>
        <v>0</v>
      </c>
      <c r="R108" s="47"/>
      <c r="S108" s="51">
        <f t="shared" si="32"/>
        <v>0</v>
      </c>
      <c r="T108" s="51">
        <f t="shared" si="26"/>
        <v>0</v>
      </c>
      <c r="U108" s="47"/>
      <c r="V108" s="55"/>
      <c r="W108" s="50"/>
      <c r="X108" s="50"/>
    </row>
    <row r="109" spans="1:24" ht="18" customHeight="1">
      <c r="A109" s="14" t="s">
        <v>509</v>
      </c>
      <c r="B109" s="13" t="s">
        <v>510</v>
      </c>
      <c r="C109" s="14" t="s">
        <v>511</v>
      </c>
      <c r="D109" s="51">
        <v>0</v>
      </c>
      <c r="E109" s="54">
        <v>59064.2</v>
      </c>
      <c r="F109" s="54"/>
      <c r="G109" s="51">
        <f t="shared" si="29"/>
        <v>161000</v>
      </c>
      <c r="H109" s="54">
        <v>161000</v>
      </c>
      <c r="I109" s="54"/>
      <c r="J109" s="51">
        <f t="shared" si="30"/>
        <v>170000</v>
      </c>
      <c r="K109" s="75">
        <v>170000</v>
      </c>
      <c r="L109" s="75"/>
      <c r="M109" s="51">
        <f t="shared" si="22"/>
        <v>9000</v>
      </c>
      <c r="N109" s="51">
        <f t="shared" si="23"/>
        <v>9000</v>
      </c>
      <c r="O109" s="51">
        <f t="shared" si="24"/>
        <v>0</v>
      </c>
      <c r="P109" s="51">
        <f t="shared" si="31"/>
        <v>170000</v>
      </c>
      <c r="Q109" s="51">
        <f t="shared" si="25"/>
        <v>170000</v>
      </c>
      <c r="R109" s="47"/>
      <c r="S109" s="51">
        <f t="shared" si="32"/>
        <v>170000</v>
      </c>
      <c r="T109" s="51">
        <f t="shared" si="26"/>
        <v>170000</v>
      </c>
      <c r="U109" s="47"/>
      <c r="V109" s="55"/>
      <c r="W109" s="50"/>
      <c r="X109" s="50"/>
    </row>
    <row r="110" spans="1:24" ht="38.25" customHeight="1">
      <c r="A110" s="14" t="s">
        <v>512</v>
      </c>
      <c r="B110" s="13" t="s">
        <v>513</v>
      </c>
      <c r="C110" s="14" t="s">
        <v>376</v>
      </c>
      <c r="D110" s="51">
        <f t="shared" si="28"/>
        <v>0</v>
      </c>
      <c r="E110" s="54"/>
      <c r="F110" s="54"/>
      <c r="G110" s="51">
        <f t="shared" si="29"/>
        <v>0</v>
      </c>
      <c r="H110" s="54"/>
      <c r="I110" s="54"/>
      <c r="J110" s="51">
        <f t="shared" si="30"/>
        <v>0</v>
      </c>
      <c r="K110" s="75"/>
      <c r="L110" s="75"/>
      <c r="M110" s="51">
        <f t="shared" si="22"/>
        <v>0</v>
      </c>
      <c r="N110" s="51">
        <f t="shared" si="23"/>
        <v>0</v>
      </c>
      <c r="O110" s="51">
        <f t="shared" si="24"/>
        <v>0</v>
      </c>
      <c r="P110" s="51">
        <f t="shared" si="31"/>
        <v>0</v>
      </c>
      <c r="Q110" s="51">
        <f t="shared" si="25"/>
        <v>0</v>
      </c>
      <c r="R110" s="47"/>
      <c r="S110" s="51">
        <f t="shared" si="32"/>
        <v>0</v>
      </c>
      <c r="T110" s="51">
        <f t="shared" si="26"/>
        <v>0</v>
      </c>
      <c r="U110" s="47"/>
      <c r="V110" s="55"/>
      <c r="W110" s="50"/>
      <c r="X110" s="50"/>
    </row>
    <row r="111" spans="1:24" s="4" customFormat="1" ht="19.5" customHeight="1">
      <c r="A111" s="6" t="s">
        <v>514</v>
      </c>
      <c r="B111" s="11" t="s">
        <v>515</v>
      </c>
      <c r="C111" s="6" t="s">
        <v>376</v>
      </c>
      <c r="D111" s="51">
        <f t="shared" si="28"/>
        <v>2431659.3</v>
      </c>
      <c r="E111" s="51">
        <f>+E113</f>
        <v>0</v>
      </c>
      <c r="F111" s="51">
        <f>+F113+F131</f>
        <v>2431659.3</v>
      </c>
      <c r="G111" s="51">
        <f t="shared" si="29"/>
        <v>2104247</v>
      </c>
      <c r="H111" s="51">
        <f>+H113</f>
        <v>0</v>
      </c>
      <c r="I111" s="51">
        <f>+I113</f>
        <v>2104247</v>
      </c>
      <c r="J111" s="51">
        <f t="shared" si="30"/>
        <v>2033645</v>
      </c>
      <c r="K111" s="79">
        <f>+K113</f>
        <v>0</v>
      </c>
      <c r="L111" s="79">
        <f>+L113</f>
        <v>2033645</v>
      </c>
      <c r="M111" s="51">
        <f t="shared" si="22"/>
        <v>-70602</v>
      </c>
      <c r="N111" s="51">
        <f t="shared" si="23"/>
        <v>0</v>
      </c>
      <c r="O111" s="51">
        <f t="shared" si="24"/>
        <v>-70602</v>
      </c>
      <c r="P111" s="51">
        <f t="shared" si="31"/>
        <v>1737000</v>
      </c>
      <c r="Q111" s="51">
        <f t="shared" si="25"/>
        <v>0</v>
      </c>
      <c r="R111" s="51">
        <f>+R113</f>
        <v>1737000</v>
      </c>
      <c r="S111" s="51">
        <f t="shared" si="32"/>
        <v>2122500</v>
      </c>
      <c r="T111" s="51">
        <f t="shared" si="26"/>
        <v>0</v>
      </c>
      <c r="U111" s="51">
        <f>+U113</f>
        <v>2122500</v>
      </c>
      <c r="V111" s="52"/>
      <c r="W111" s="53"/>
      <c r="X111" s="53"/>
    </row>
    <row r="112" spans="1:24" ht="12.75" customHeight="1">
      <c r="A112" s="14"/>
      <c r="B112" s="13" t="s">
        <v>5</v>
      </c>
      <c r="C112" s="14"/>
      <c r="D112" s="51">
        <f t="shared" si="28"/>
        <v>0</v>
      </c>
      <c r="E112" s="54"/>
      <c r="F112" s="54"/>
      <c r="G112" s="51">
        <f t="shared" si="29"/>
        <v>0</v>
      </c>
      <c r="H112" s="54"/>
      <c r="I112" s="54"/>
      <c r="J112" s="51">
        <f t="shared" si="30"/>
        <v>0</v>
      </c>
      <c r="K112" s="73"/>
      <c r="L112" s="73"/>
      <c r="M112" s="51">
        <f t="shared" si="22"/>
        <v>0</v>
      </c>
      <c r="N112" s="51">
        <f t="shared" si="23"/>
        <v>0</v>
      </c>
      <c r="O112" s="51">
        <f t="shared" si="24"/>
        <v>0</v>
      </c>
      <c r="P112" s="51">
        <f t="shared" si="31"/>
        <v>0</v>
      </c>
      <c r="Q112" s="51">
        <f t="shared" si="25"/>
        <v>0</v>
      </c>
      <c r="R112" s="45"/>
      <c r="S112" s="51">
        <f t="shared" si="32"/>
        <v>0</v>
      </c>
      <c r="T112" s="51">
        <f t="shared" si="26"/>
        <v>0</v>
      </c>
      <c r="U112" s="45"/>
      <c r="V112" s="55"/>
      <c r="W112" s="50"/>
      <c r="X112" s="50"/>
    </row>
    <row r="113" spans="1:24" s="4" customFormat="1" ht="19.5" customHeight="1">
      <c r="A113" s="6" t="s">
        <v>516</v>
      </c>
      <c r="B113" s="11" t="s">
        <v>517</v>
      </c>
      <c r="C113" s="6" t="s">
        <v>376</v>
      </c>
      <c r="D113" s="51">
        <f t="shared" si="28"/>
        <v>2431428.4</v>
      </c>
      <c r="E113" s="51">
        <f aca="true" t="shared" si="39" ref="E113:U113">+E115+E120+E125</f>
        <v>0</v>
      </c>
      <c r="F113" s="51">
        <f t="shared" si="39"/>
        <v>2431428.4</v>
      </c>
      <c r="G113" s="51">
        <f t="shared" si="29"/>
        <v>2104247</v>
      </c>
      <c r="H113" s="51">
        <f t="shared" si="39"/>
        <v>0</v>
      </c>
      <c r="I113" s="51">
        <f t="shared" si="39"/>
        <v>2104247</v>
      </c>
      <c r="J113" s="51">
        <f t="shared" si="30"/>
        <v>2033645</v>
      </c>
      <c r="K113" s="79">
        <f t="shared" si="39"/>
        <v>0</v>
      </c>
      <c r="L113" s="79">
        <f t="shared" si="39"/>
        <v>2033645</v>
      </c>
      <c r="M113" s="51">
        <f t="shared" si="22"/>
        <v>-70602</v>
      </c>
      <c r="N113" s="51">
        <f t="shared" si="23"/>
        <v>0</v>
      </c>
      <c r="O113" s="51">
        <f t="shared" si="24"/>
        <v>-70602</v>
      </c>
      <c r="P113" s="51">
        <f t="shared" si="31"/>
        <v>1737000</v>
      </c>
      <c r="Q113" s="51">
        <f t="shared" si="25"/>
        <v>0</v>
      </c>
      <c r="R113" s="51">
        <f t="shared" si="39"/>
        <v>1737000</v>
      </c>
      <c r="S113" s="51">
        <f t="shared" si="32"/>
        <v>2122500</v>
      </c>
      <c r="T113" s="51">
        <f t="shared" si="26"/>
        <v>0</v>
      </c>
      <c r="U113" s="51">
        <f t="shared" si="39"/>
        <v>2122500</v>
      </c>
      <c r="V113" s="52"/>
      <c r="W113" s="53"/>
      <c r="X113" s="53"/>
    </row>
    <row r="114" spans="1:24" ht="12.75" customHeight="1">
      <c r="A114" s="14"/>
      <c r="B114" s="13" t="s">
        <v>5</v>
      </c>
      <c r="C114" s="14"/>
      <c r="D114" s="51">
        <f t="shared" si="28"/>
        <v>0</v>
      </c>
      <c r="E114" s="54"/>
      <c r="F114" s="54"/>
      <c r="G114" s="51">
        <f t="shared" si="29"/>
        <v>0</v>
      </c>
      <c r="H114" s="54"/>
      <c r="I114" s="54"/>
      <c r="J114" s="51">
        <f t="shared" si="30"/>
        <v>0</v>
      </c>
      <c r="K114" s="75"/>
      <c r="L114" s="75"/>
      <c r="M114" s="51">
        <f t="shared" si="22"/>
        <v>0</v>
      </c>
      <c r="N114" s="51">
        <f t="shared" si="23"/>
        <v>0</v>
      </c>
      <c r="O114" s="51">
        <f t="shared" si="24"/>
        <v>0</v>
      </c>
      <c r="P114" s="51">
        <f t="shared" si="31"/>
        <v>0</v>
      </c>
      <c r="Q114" s="51">
        <f t="shared" si="25"/>
        <v>0</v>
      </c>
      <c r="R114" s="47"/>
      <c r="S114" s="51">
        <f t="shared" si="32"/>
        <v>0</v>
      </c>
      <c r="T114" s="51">
        <f t="shared" si="26"/>
        <v>0</v>
      </c>
      <c r="U114" s="47"/>
      <c r="V114" s="55"/>
      <c r="W114" s="50"/>
      <c r="X114" s="50"/>
    </row>
    <row r="115" spans="1:24" s="4" customFormat="1" ht="19.5" customHeight="1">
      <c r="A115" s="6" t="s">
        <v>518</v>
      </c>
      <c r="B115" s="11" t="s">
        <v>519</v>
      </c>
      <c r="C115" s="6" t="s">
        <v>376</v>
      </c>
      <c r="D115" s="51">
        <f t="shared" si="28"/>
        <v>2219445.1</v>
      </c>
      <c r="E115" s="51">
        <f>+E117+E118+E119</f>
        <v>0</v>
      </c>
      <c r="F115" s="51">
        <f>+F117+F118+F119</f>
        <v>2219445.1</v>
      </c>
      <c r="G115" s="51">
        <f t="shared" si="29"/>
        <v>1806965.7999999998</v>
      </c>
      <c r="H115" s="51">
        <f>+H118+H119</f>
        <v>0</v>
      </c>
      <c r="I115" s="51">
        <f>+I118+I119</f>
        <v>1806965.7999999998</v>
      </c>
      <c r="J115" s="51">
        <f t="shared" si="30"/>
        <v>1677452</v>
      </c>
      <c r="K115" s="79">
        <f>+K118+K119</f>
        <v>0</v>
      </c>
      <c r="L115" s="79">
        <f>+L118+L119</f>
        <v>1677452</v>
      </c>
      <c r="M115" s="51">
        <f t="shared" si="22"/>
        <v>-129513.79999999981</v>
      </c>
      <c r="N115" s="51">
        <f t="shared" si="23"/>
        <v>0</v>
      </c>
      <c r="O115" s="51">
        <f t="shared" si="24"/>
        <v>-129513.79999999981</v>
      </c>
      <c r="P115" s="51">
        <f t="shared" si="31"/>
        <v>1605000</v>
      </c>
      <c r="Q115" s="51">
        <f t="shared" si="25"/>
        <v>0</v>
      </c>
      <c r="R115" s="51">
        <f>+R118+R119</f>
        <v>1605000</v>
      </c>
      <c r="S115" s="51">
        <f t="shared" si="32"/>
        <v>1991000</v>
      </c>
      <c r="T115" s="51">
        <f t="shared" si="26"/>
        <v>0</v>
      </c>
      <c r="U115" s="51">
        <f>+U118+U119</f>
        <v>1991000</v>
      </c>
      <c r="V115" s="52"/>
      <c r="W115" s="53"/>
      <c r="X115" s="53"/>
    </row>
    <row r="116" spans="1:24" ht="12.75" customHeight="1">
      <c r="A116" s="14"/>
      <c r="B116" s="13" t="s">
        <v>199</v>
      </c>
      <c r="C116" s="14"/>
      <c r="D116" s="51">
        <f t="shared" si="28"/>
        <v>0</v>
      </c>
      <c r="E116" s="54"/>
      <c r="F116" s="54"/>
      <c r="G116" s="51">
        <f t="shared" si="29"/>
        <v>0</v>
      </c>
      <c r="H116" s="54"/>
      <c r="I116" s="54"/>
      <c r="J116" s="51">
        <f t="shared" si="30"/>
        <v>0</v>
      </c>
      <c r="K116" s="73"/>
      <c r="L116" s="73"/>
      <c r="M116" s="51">
        <f t="shared" si="22"/>
        <v>0</v>
      </c>
      <c r="N116" s="51">
        <f t="shared" si="23"/>
        <v>0</v>
      </c>
      <c r="O116" s="51">
        <f t="shared" si="24"/>
        <v>0</v>
      </c>
      <c r="P116" s="51">
        <f t="shared" si="31"/>
        <v>0</v>
      </c>
      <c r="Q116" s="51">
        <f t="shared" si="25"/>
        <v>0</v>
      </c>
      <c r="R116" s="45"/>
      <c r="S116" s="51">
        <f t="shared" si="32"/>
        <v>0</v>
      </c>
      <c r="T116" s="51">
        <f t="shared" si="26"/>
        <v>0</v>
      </c>
      <c r="U116" s="45"/>
      <c r="V116" s="55"/>
      <c r="W116" s="50"/>
      <c r="X116" s="50"/>
    </row>
    <row r="117" spans="1:24" ht="12.75" customHeight="1">
      <c r="A117" s="14"/>
      <c r="B117" s="13" t="s">
        <v>726</v>
      </c>
      <c r="C117" s="14">
        <v>5111</v>
      </c>
      <c r="D117" s="51">
        <f t="shared" si="28"/>
        <v>11000</v>
      </c>
      <c r="E117" s="54"/>
      <c r="F117" s="54">
        <v>11000</v>
      </c>
      <c r="G117" s="51"/>
      <c r="H117" s="54"/>
      <c r="I117" s="54"/>
      <c r="J117" s="51"/>
      <c r="K117" s="73"/>
      <c r="L117" s="73"/>
      <c r="M117" s="51">
        <f t="shared" si="22"/>
        <v>0</v>
      </c>
      <c r="N117" s="51">
        <f t="shared" si="23"/>
        <v>0</v>
      </c>
      <c r="O117" s="51">
        <f t="shared" si="24"/>
        <v>0</v>
      </c>
      <c r="P117" s="51"/>
      <c r="Q117" s="51">
        <f t="shared" si="25"/>
        <v>0</v>
      </c>
      <c r="R117" s="45"/>
      <c r="S117" s="51"/>
      <c r="T117" s="51">
        <f t="shared" si="26"/>
        <v>0</v>
      </c>
      <c r="U117" s="45"/>
      <c r="V117" s="55"/>
      <c r="W117" s="50"/>
      <c r="X117" s="50"/>
    </row>
    <row r="118" spans="1:24" ht="12.75" customHeight="1">
      <c r="A118" s="14" t="s">
        <v>520</v>
      </c>
      <c r="B118" s="13" t="s">
        <v>521</v>
      </c>
      <c r="C118" s="14" t="s">
        <v>520</v>
      </c>
      <c r="D118" s="51">
        <f t="shared" si="28"/>
        <v>452495.1</v>
      </c>
      <c r="E118" s="54"/>
      <c r="F118" s="54">
        <v>452495.1</v>
      </c>
      <c r="G118" s="51">
        <f t="shared" si="29"/>
        <v>377707.1</v>
      </c>
      <c r="H118" s="54"/>
      <c r="I118" s="54">
        <v>377707.1</v>
      </c>
      <c r="J118" s="51">
        <f t="shared" si="30"/>
        <v>0</v>
      </c>
      <c r="K118" s="75"/>
      <c r="L118" s="75"/>
      <c r="M118" s="51">
        <f t="shared" si="22"/>
        <v>-377707.1</v>
      </c>
      <c r="N118" s="51">
        <f t="shared" si="23"/>
        <v>0</v>
      </c>
      <c r="O118" s="51">
        <f t="shared" si="24"/>
        <v>-377707.1</v>
      </c>
      <c r="P118" s="51">
        <f t="shared" si="31"/>
        <v>0</v>
      </c>
      <c r="Q118" s="51">
        <f t="shared" si="25"/>
        <v>0</v>
      </c>
      <c r="R118" s="47"/>
      <c r="S118" s="51">
        <f t="shared" si="32"/>
        <v>0</v>
      </c>
      <c r="T118" s="51">
        <f t="shared" si="26"/>
        <v>0</v>
      </c>
      <c r="U118" s="47"/>
      <c r="V118" s="55"/>
      <c r="W118" s="50"/>
      <c r="X118" s="50"/>
    </row>
    <row r="119" spans="1:24" ht="12.75" customHeight="1">
      <c r="A119" s="14" t="s">
        <v>522</v>
      </c>
      <c r="B119" s="13" t="s">
        <v>523</v>
      </c>
      <c r="C119" s="14" t="s">
        <v>522</v>
      </c>
      <c r="D119" s="51">
        <f t="shared" si="28"/>
        <v>1755950</v>
      </c>
      <c r="E119" s="54"/>
      <c r="F119" s="54">
        <v>1755950</v>
      </c>
      <c r="G119" s="51">
        <f t="shared" si="29"/>
        <v>1429258.7</v>
      </c>
      <c r="H119" s="54"/>
      <c r="I119" s="54">
        <v>1429258.7</v>
      </c>
      <c r="J119" s="51">
        <f t="shared" si="30"/>
        <v>1677452</v>
      </c>
      <c r="K119" s="75"/>
      <c r="L119" s="75">
        <v>1677452</v>
      </c>
      <c r="M119" s="51">
        <f t="shared" si="22"/>
        <v>248193.30000000005</v>
      </c>
      <c r="N119" s="51">
        <f t="shared" si="23"/>
        <v>0</v>
      </c>
      <c r="O119" s="51">
        <f t="shared" si="24"/>
        <v>248193.30000000005</v>
      </c>
      <c r="P119" s="51">
        <f t="shared" si="31"/>
        <v>1605000</v>
      </c>
      <c r="Q119" s="51">
        <f t="shared" si="25"/>
        <v>0</v>
      </c>
      <c r="R119" s="47">
        <v>1605000</v>
      </c>
      <c r="S119" s="51">
        <f t="shared" si="32"/>
        <v>1991000</v>
      </c>
      <c r="T119" s="51">
        <f t="shared" si="26"/>
        <v>0</v>
      </c>
      <c r="U119" s="47">
        <v>1991000</v>
      </c>
      <c r="V119" s="55"/>
      <c r="W119" s="50"/>
      <c r="X119" s="50"/>
    </row>
    <row r="120" spans="1:24" s="4" customFormat="1" ht="19.5" customHeight="1">
      <c r="A120" s="6" t="s">
        <v>524</v>
      </c>
      <c r="B120" s="11" t="s">
        <v>525</v>
      </c>
      <c r="C120" s="6" t="s">
        <v>376</v>
      </c>
      <c r="D120" s="51">
        <f t="shared" si="28"/>
        <v>148044.90000000002</v>
      </c>
      <c r="E120" s="51">
        <f aca="true" t="shared" si="40" ref="E120:U120">+E122+E123+E124</f>
        <v>0</v>
      </c>
      <c r="F120" s="51">
        <f t="shared" si="40"/>
        <v>148044.90000000002</v>
      </c>
      <c r="G120" s="51">
        <f t="shared" si="29"/>
        <v>210000</v>
      </c>
      <c r="H120" s="51">
        <f t="shared" si="40"/>
        <v>0</v>
      </c>
      <c r="I120" s="51">
        <f t="shared" si="40"/>
        <v>210000</v>
      </c>
      <c r="J120" s="51">
        <f t="shared" si="30"/>
        <v>275000</v>
      </c>
      <c r="K120" s="79">
        <f t="shared" si="40"/>
        <v>0</v>
      </c>
      <c r="L120" s="79">
        <f t="shared" si="40"/>
        <v>275000</v>
      </c>
      <c r="M120" s="51">
        <f t="shared" si="22"/>
        <v>65000</v>
      </c>
      <c r="N120" s="51">
        <f t="shared" si="23"/>
        <v>0</v>
      </c>
      <c r="O120" s="51">
        <f t="shared" si="24"/>
        <v>65000</v>
      </c>
      <c r="P120" s="51">
        <f t="shared" si="31"/>
        <v>132000</v>
      </c>
      <c r="Q120" s="51">
        <f t="shared" si="25"/>
        <v>0</v>
      </c>
      <c r="R120" s="51">
        <f t="shared" si="40"/>
        <v>132000</v>
      </c>
      <c r="S120" s="51">
        <f t="shared" si="32"/>
        <v>131500</v>
      </c>
      <c r="T120" s="51">
        <f t="shared" si="26"/>
        <v>0</v>
      </c>
      <c r="U120" s="51">
        <f t="shared" si="40"/>
        <v>131500</v>
      </c>
      <c r="V120" s="52"/>
      <c r="W120" s="53"/>
      <c r="X120" s="53"/>
    </row>
    <row r="121" spans="1:24" ht="12.75" customHeight="1">
      <c r="A121" s="14"/>
      <c r="B121" s="13" t="s">
        <v>199</v>
      </c>
      <c r="C121" s="14"/>
      <c r="D121" s="51">
        <f t="shared" si="28"/>
        <v>0</v>
      </c>
      <c r="E121" s="54"/>
      <c r="F121" s="54"/>
      <c r="G121" s="51">
        <f t="shared" si="29"/>
        <v>0</v>
      </c>
      <c r="H121" s="54"/>
      <c r="I121" s="54"/>
      <c r="J121" s="51">
        <f t="shared" si="30"/>
        <v>0</v>
      </c>
      <c r="K121" s="73"/>
      <c r="L121" s="73"/>
      <c r="M121" s="51">
        <f t="shared" si="22"/>
        <v>0</v>
      </c>
      <c r="N121" s="51">
        <f t="shared" si="23"/>
        <v>0</v>
      </c>
      <c r="O121" s="51">
        <f t="shared" si="24"/>
        <v>0</v>
      </c>
      <c r="P121" s="51">
        <f t="shared" si="31"/>
        <v>0</v>
      </c>
      <c r="Q121" s="51">
        <f t="shared" si="25"/>
        <v>0</v>
      </c>
      <c r="R121" s="45"/>
      <c r="S121" s="51">
        <f t="shared" si="32"/>
        <v>0</v>
      </c>
      <c r="T121" s="51">
        <f t="shared" si="26"/>
        <v>0</v>
      </c>
      <c r="U121" s="45"/>
      <c r="V121" s="55"/>
      <c r="W121" s="50"/>
      <c r="X121" s="50"/>
    </row>
    <row r="122" spans="1:24" ht="12.75" customHeight="1">
      <c r="A122" s="14" t="s">
        <v>526</v>
      </c>
      <c r="B122" s="13" t="s">
        <v>527</v>
      </c>
      <c r="C122" s="14" t="s">
        <v>526</v>
      </c>
      <c r="D122" s="51">
        <f t="shared" si="28"/>
        <v>11136.1</v>
      </c>
      <c r="E122" s="54"/>
      <c r="F122" s="54">
        <v>11136.1</v>
      </c>
      <c r="G122" s="51">
        <f t="shared" si="29"/>
        <v>10000</v>
      </c>
      <c r="H122" s="54"/>
      <c r="I122" s="54">
        <v>10000</v>
      </c>
      <c r="J122" s="51">
        <f t="shared" si="30"/>
        <v>80000</v>
      </c>
      <c r="K122" s="75"/>
      <c r="L122" s="75">
        <v>80000</v>
      </c>
      <c r="M122" s="51">
        <f t="shared" si="22"/>
        <v>70000</v>
      </c>
      <c r="N122" s="51">
        <f t="shared" si="23"/>
        <v>0</v>
      </c>
      <c r="O122" s="51">
        <f t="shared" si="24"/>
        <v>70000</v>
      </c>
      <c r="P122" s="51">
        <f t="shared" si="31"/>
        <v>55000</v>
      </c>
      <c r="Q122" s="51">
        <f t="shared" si="25"/>
        <v>0</v>
      </c>
      <c r="R122" s="47">
        <f>50000+5000</f>
        <v>55000</v>
      </c>
      <c r="S122" s="51">
        <f t="shared" si="32"/>
        <v>55000</v>
      </c>
      <c r="T122" s="51">
        <f t="shared" si="26"/>
        <v>0</v>
      </c>
      <c r="U122" s="47">
        <f>50000+5000</f>
        <v>55000</v>
      </c>
      <c r="V122" s="55"/>
      <c r="W122" s="50"/>
      <c r="X122" s="50"/>
    </row>
    <row r="123" spans="1:24" ht="12.75" customHeight="1">
      <c r="A123" s="14" t="s">
        <v>528</v>
      </c>
      <c r="B123" s="13" t="s">
        <v>529</v>
      </c>
      <c r="C123" s="14" t="s">
        <v>528</v>
      </c>
      <c r="D123" s="51">
        <f t="shared" si="28"/>
        <v>100807.5</v>
      </c>
      <c r="E123" s="54"/>
      <c r="F123" s="54">
        <v>100807.5</v>
      </c>
      <c r="G123" s="51">
        <f t="shared" si="29"/>
        <v>200000</v>
      </c>
      <c r="H123" s="54"/>
      <c r="I123" s="54">
        <v>200000</v>
      </c>
      <c r="J123" s="51">
        <f t="shared" si="30"/>
        <v>195000</v>
      </c>
      <c r="K123" s="75"/>
      <c r="L123" s="75">
        <v>195000</v>
      </c>
      <c r="M123" s="51">
        <f t="shared" si="22"/>
        <v>-5000</v>
      </c>
      <c r="N123" s="51">
        <f t="shared" si="23"/>
        <v>0</v>
      </c>
      <c r="O123" s="51">
        <f t="shared" si="24"/>
        <v>-5000</v>
      </c>
      <c r="P123" s="51">
        <f t="shared" si="31"/>
        <v>77000</v>
      </c>
      <c r="Q123" s="51">
        <f t="shared" si="25"/>
        <v>0</v>
      </c>
      <c r="R123" s="47">
        <f>2000+50000+15000+10000</f>
        <v>77000</v>
      </c>
      <c r="S123" s="51">
        <f t="shared" si="32"/>
        <v>76500</v>
      </c>
      <c r="T123" s="51">
        <f t="shared" si="26"/>
        <v>0</v>
      </c>
      <c r="U123" s="47">
        <f>1500+50000+15000+10000</f>
        <v>76500</v>
      </c>
      <c r="V123" s="55"/>
      <c r="W123" s="50"/>
      <c r="X123" s="50"/>
    </row>
    <row r="124" spans="1:24" ht="12.75" customHeight="1">
      <c r="A124" s="14" t="s">
        <v>530</v>
      </c>
      <c r="B124" s="13" t="s">
        <v>531</v>
      </c>
      <c r="C124" s="14" t="s">
        <v>532</v>
      </c>
      <c r="D124" s="51">
        <f t="shared" si="28"/>
        <v>36101.3</v>
      </c>
      <c r="E124" s="54"/>
      <c r="F124" s="54">
        <v>36101.3</v>
      </c>
      <c r="G124" s="51">
        <f t="shared" si="29"/>
        <v>0</v>
      </c>
      <c r="H124" s="54"/>
      <c r="I124" s="54"/>
      <c r="J124" s="51">
        <f t="shared" si="30"/>
        <v>0</v>
      </c>
      <c r="K124" s="73"/>
      <c r="L124" s="73"/>
      <c r="M124" s="51">
        <f t="shared" si="22"/>
        <v>0</v>
      </c>
      <c r="N124" s="51">
        <f t="shared" si="23"/>
        <v>0</v>
      </c>
      <c r="O124" s="51">
        <f t="shared" si="24"/>
        <v>0</v>
      </c>
      <c r="P124" s="51">
        <f t="shared" si="31"/>
        <v>0</v>
      </c>
      <c r="Q124" s="51">
        <f t="shared" si="25"/>
        <v>0</v>
      </c>
      <c r="R124" s="45"/>
      <c r="S124" s="51">
        <f t="shared" si="32"/>
        <v>0</v>
      </c>
      <c r="T124" s="51">
        <f t="shared" si="26"/>
        <v>0</v>
      </c>
      <c r="U124" s="45"/>
      <c r="V124" s="55"/>
      <c r="W124" s="50"/>
      <c r="X124" s="50"/>
    </row>
    <row r="125" spans="1:24" s="4" customFormat="1" ht="19.5" customHeight="1">
      <c r="A125" s="6" t="s">
        <v>533</v>
      </c>
      <c r="B125" s="11" t="s">
        <v>534</v>
      </c>
      <c r="C125" s="6" t="s">
        <v>376</v>
      </c>
      <c r="D125" s="51">
        <f t="shared" si="28"/>
        <v>63938.399999999994</v>
      </c>
      <c r="E125" s="51">
        <f>+E128+E129+E130</f>
        <v>0</v>
      </c>
      <c r="F125" s="51">
        <f>+F127+F128+F129+F130</f>
        <v>63938.399999999994</v>
      </c>
      <c r="G125" s="51">
        <f t="shared" si="29"/>
        <v>87281.2</v>
      </c>
      <c r="H125" s="51">
        <f>+H128+H129+H130</f>
        <v>0</v>
      </c>
      <c r="I125" s="51">
        <f>+I128+I129+I130</f>
        <v>87281.2</v>
      </c>
      <c r="J125" s="51">
        <f t="shared" si="30"/>
        <v>81193</v>
      </c>
      <c r="K125" s="79">
        <f>+K128+K129+K130</f>
        <v>0</v>
      </c>
      <c r="L125" s="79">
        <f>+L128+L129+L130</f>
        <v>81193</v>
      </c>
      <c r="M125" s="51">
        <f t="shared" si="22"/>
        <v>-6088.199999999997</v>
      </c>
      <c r="N125" s="51">
        <f t="shared" si="23"/>
        <v>0</v>
      </c>
      <c r="O125" s="51">
        <f t="shared" si="24"/>
        <v>-6088.199999999997</v>
      </c>
      <c r="P125" s="51">
        <f t="shared" si="31"/>
        <v>0</v>
      </c>
      <c r="Q125" s="51">
        <f t="shared" si="25"/>
        <v>0</v>
      </c>
      <c r="R125" s="51">
        <f>+R128+R129+R130</f>
        <v>0</v>
      </c>
      <c r="S125" s="51">
        <f t="shared" si="32"/>
        <v>0</v>
      </c>
      <c r="T125" s="51">
        <f t="shared" si="26"/>
        <v>0</v>
      </c>
      <c r="U125" s="51">
        <f>+U128+U129+U130</f>
        <v>0</v>
      </c>
      <c r="V125" s="52"/>
      <c r="W125" s="53"/>
      <c r="X125" s="53"/>
    </row>
    <row r="126" spans="1:24" ht="12.75" customHeight="1">
      <c r="A126" s="14"/>
      <c r="B126" s="13" t="s">
        <v>199</v>
      </c>
      <c r="C126" s="14"/>
      <c r="D126" s="51">
        <f t="shared" si="28"/>
        <v>0</v>
      </c>
      <c r="E126" s="54"/>
      <c r="F126" s="54"/>
      <c r="G126" s="51">
        <f t="shared" si="29"/>
        <v>0</v>
      </c>
      <c r="H126" s="54"/>
      <c r="I126" s="54"/>
      <c r="J126" s="51">
        <f t="shared" si="30"/>
        <v>0</v>
      </c>
      <c r="K126" s="75"/>
      <c r="L126" s="75"/>
      <c r="M126" s="51">
        <f t="shared" si="22"/>
        <v>0</v>
      </c>
      <c r="N126" s="51">
        <f t="shared" si="23"/>
        <v>0</v>
      </c>
      <c r="O126" s="51">
        <f t="shared" si="24"/>
        <v>0</v>
      </c>
      <c r="P126" s="51">
        <f t="shared" si="31"/>
        <v>0</v>
      </c>
      <c r="Q126" s="51">
        <f t="shared" si="25"/>
        <v>0</v>
      </c>
      <c r="R126" s="47"/>
      <c r="S126" s="51">
        <f t="shared" si="32"/>
        <v>0</v>
      </c>
      <c r="T126" s="51">
        <f t="shared" si="26"/>
        <v>0</v>
      </c>
      <c r="U126" s="47"/>
      <c r="V126" s="55"/>
      <c r="W126" s="50"/>
      <c r="X126" s="50"/>
    </row>
    <row r="127" spans="1:24" ht="12.75" customHeight="1">
      <c r="A127" s="14"/>
      <c r="B127" s="13" t="s">
        <v>727</v>
      </c>
      <c r="C127" s="14">
        <v>5131</v>
      </c>
      <c r="D127" s="51">
        <f t="shared" si="28"/>
        <v>192</v>
      </c>
      <c r="E127" s="54"/>
      <c r="F127" s="54">
        <v>192</v>
      </c>
      <c r="G127" s="51"/>
      <c r="H127" s="54"/>
      <c r="I127" s="54"/>
      <c r="J127" s="51"/>
      <c r="K127" s="75"/>
      <c r="L127" s="75"/>
      <c r="M127" s="51">
        <f t="shared" si="22"/>
        <v>0</v>
      </c>
      <c r="N127" s="51">
        <f t="shared" si="23"/>
        <v>0</v>
      </c>
      <c r="O127" s="51">
        <f t="shared" si="24"/>
        <v>0</v>
      </c>
      <c r="P127" s="51"/>
      <c r="Q127" s="51">
        <f t="shared" si="25"/>
        <v>0</v>
      </c>
      <c r="R127" s="47"/>
      <c r="S127" s="51"/>
      <c r="T127" s="51">
        <f t="shared" si="26"/>
        <v>0</v>
      </c>
      <c r="U127" s="47"/>
      <c r="V127" s="55"/>
      <c r="W127" s="50"/>
      <c r="X127" s="50"/>
    </row>
    <row r="128" spans="1:24" ht="12.75" customHeight="1">
      <c r="A128" s="14" t="s">
        <v>535</v>
      </c>
      <c r="B128" s="13" t="s">
        <v>536</v>
      </c>
      <c r="C128" s="14" t="s">
        <v>535</v>
      </c>
      <c r="D128" s="51">
        <f t="shared" si="28"/>
        <v>809.7</v>
      </c>
      <c r="E128" s="54"/>
      <c r="F128" s="54">
        <v>809.7</v>
      </c>
      <c r="G128" s="51">
        <f t="shared" si="29"/>
        <v>0</v>
      </c>
      <c r="H128" s="54"/>
      <c r="I128" s="54"/>
      <c r="J128" s="51">
        <f t="shared" si="30"/>
        <v>0</v>
      </c>
      <c r="K128" s="75"/>
      <c r="L128" s="75"/>
      <c r="M128" s="51">
        <f t="shared" si="22"/>
        <v>0</v>
      </c>
      <c r="N128" s="51">
        <f t="shared" si="23"/>
        <v>0</v>
      </c>
      <c r="O128" s="51">
        <f t="shared" si="24"/>
        <v>0</v>
      </c>
      <c r="P128" s="51">
        <f t="shared" si="31"/>
        <v>0</v>
      </c>
      <c r="Q128" s="51">
        <f t="shared" si="25"/>
        <v>0</v>
      </c>
      <c r="R128" s="47"/>
      <c r="S128" s="51">
        <f t="shared" si="32"/>
        <v>0</v>
      </c>
      <c r="T128" s="51">
        <f t="shared" si="26"/>
        <v>0</v>
      </c>
      <c r="U128" s="47"/>
      <c r="V128" s="55"/>
      <c r="W128" s="50"/>
      <c r="X128" s="50"/>
    </row>
    <row r="129" spans="1:24" ht="12.75" customHeight="1">
      <c r="A129" s="14">
        <v>5133</v>
      </c>
      <c r="B129" s="43" t="s">
        <v>691</v>
      </c>
      <c r="C129" s="14">
        <v>5133</v>
      </c>
      <c r="D129" s="51">
        <f t="shared" si="28"/>
        <v>0</v>
      </c>
      <c r="E129" s="54"/>
      <c r="F129" s="54"/>
      <c r="G129" s="51">
        <f t="shared" si="29"/>
        <v>15000</v>
      </c>
      <c r="H129" s="54"/>
      <c r="I129" s="54">
        <v>15000</v>
      </c>
      <c r="J129" s="51">
        <f t="shared" si="30"/>
        <v>0</v>
      </c>
      <c r="K129" s="75"/>
      <c r="L129" s="75"/>
      <c r="M129" s="51">
        <f t="shared" si="22"/>
        <v>-15000</v>
      </c>
      <c r="N129" s="51">
        <f t="shared" si="23"/>
        <v>0</v>
      </c>
      <c r="O129" s="51">
        <f t="shared" si="24"/>
        <v>-15000</v>
      </c>
      <c r="P129" s="51">
        <f t="shared" si="31"/>
        <v>0</v>
      </c>
      <c r="Q129" s="51">
        <f t="shared" si="25"/>
        <v>0</v>
      </c>
      <c r="R129" s="47"/>
      <c r="S129" s="51">
        <f t="shared" si="32"/>
        <v>0</v>
      </c>
      <c r="T129" s="51">
        <f t="shared" si="26"/>
        <v>0</v>
      </c>
      <c r="U129" s="47"/>
      <c r="V129" s="55"/>
      <c r="W129" s="50"/>
      <c r="X129" s="50"/>
    </row>
    <row r="130" spans="1:24" ht="12.75" customHeight="1">
      <c r="A130" s="14" t="s">
        <v>537</v>
      </c>
      <c r="B130" s="13" t="s">
        <v>538</v>
      </c>
      <c r="C130" s="14" t="s">
        <v>537</v>
      </c>
      <c r="D130" s="51">
        <f t="shared" si="28"/>
        <v>62936.7</v>
      </c>
      <c r="E130" s="54"/>
      <c r="F130" s="54">
        <v>62936.7</v>
      </c>
      <c r="G130" s="51">
        <f t="shared" si="29"/>
        <v>72281.2</v>
      </c>
      <c r="H130" s="54"/>
      <c r="I130" s="54">
        <v>72281.2</v>
      </c>
      <c r="J130" s="51">
        <f t="shared" si="30"/>
        <v>81193</v>
      </c>
      <c r="K130" s="75"/>
      <c r="L130" s="75">
        <v>81193</v>
      </c>
      <c r="M130" s="51">
        <f t="shared" si="22"/>
        <v>8911.800000000003</v>
      </c>
      <c r="N130" s="51">
        <f t="shared" si="23"/>
        <v>0</v>
      </c>
      <c r="O130" s="51">
        <f t="shared" si="24"/>
        <v>8911.800000000003</v>
      </c>
      <c r="P130" s="51">
        <f t="shared" si="31"/>
        <v>0</v>
      </c>
      <c r="Q130" s="51">
        <f t="shared" si="25"/>
        <v>0</v>
      </c>
      <c r="R130" s="47"/>
      <c r="S130" s="51">
        <f t="shared" si="32"/>
        <v>0</v>
      </c>
      <c r="T130" s="51">
        <f t="shared" si="26"/>
        <v>0</v>
      </c>
      <c r="U130" s="47"/>
      <c r="V130" s="55"/>
      <c r="W130" s="50"/>
      <c r="X130" s="50"/>
    </row>
    <row r="131" spans="1:24" ht="12.75" customHeight="1">
      <c r="A131" s="14">
        <v>5200</v>
      </c>
      <c r="B131" s="11" t="s">
        <v>729</v>
      </c>
      <c r="C131" s="14"/>
      <c r="D131" s="51">
        <f t="shared" si="28"/>
        <v>230.9</v>
      </c>
      <c r="E131" s="54"/>
      <c r="F131" s="54">
        <f>+F132</f>
        <v>230.9</v>
      </c>
      <c r="G131" s="51"/>
      <c r="H131" s="54"/>
      <c r="I131" s="54"/>
      <c r="J131" s="51"/>
      <c r="K131" s="75"/>
      <c r="L131" s="75"/>
      <c r="M131" s="51">
        <f t="shared" si="22"/>
        <v>0</v>
      </c>
      <c r="N131" s="51">
        <f t="shared" si="23"/>
        <v>0</v>
      </c>
      <c r="O131" s="51">
        <f t="shared" si="24"/>
        <v>0</v>
      </c>
      <c r="P131" s="51"/>
      <c r="Q131" s="51">
        <f t="shared" si="25"/>
        <v>0</v>
      </c>
      <c r="R131" s="47"/>
      <c r="S131" s="51"/>
      <c r="T131" s="51">
        <f t="shared" si="26"/>
        <v>0</v>
      </c>
      <c r="U131" s="47"/>
      <c r="V131" s="55"/>
      <c r="W131" s="50"/>
      <c r="X131" s="50"/>
    </row>
    <row r="132" spans="1:24" ht="12.75" customHeight="1">
      <c r="A132" s="14">
        <v>5221</v>
      </c>
      <c r="B132" s="13" t="s">
        <v>728</v>
      </c>
      <c r="C132" s="14">
        <v>5221</v>
      </c>
      <c r="D132" s="51">
        <f t="shared" si="28"/>
        <v>230.9</v>
      </c>
      <c r="E132" s="54"/>
      <c r="F132" s="54">
        <v>230.9</v>
      </c>
      <c r="G132" s="51"/>
      <c r="H132" s="54"/>
      <c r="I132" s="54"/>
      <c r="J132" s="51"/>
      <c r="K132" s="75"/>
      <c r="L132" s="75"/>
      <c r="M132" s="51">
        <f t="shared" si="22"/>
        <v>0</v>
      </c>
      <c r="N132" s="51">
        <f t="shared" si="23"/>
        <v>0</v>
      </c>
      <c r="O132" s="51">
        <f t="shared" si="24"/>
        <v>0</v>
      </c>
      <c r="P132" s="51"/>
      <c r="Q132" s="51">
        <f t="shared" si="25"/>
        <v>0</v>
      </c>
      <c r="R132" s="47"/>
      <c r="S132" s="51"/>
      <c r="T132" s="51">
        <f t="shared" si="26"/>
        <v>0</v>
      </c>
      <c r="U132" s="47"/>
      <c r="V132" s="55"/>
      <c r="W132" s="50"/>
      <c r="X132" s="50"/>
    </row>
    <row r="133" spans="1:24" s="4" customFormat="1" ht="27.75" customHeight="1">
      <c r="A133" s="6" t="s">
        <v>539</v>
      </c>
      <c r="B133" s="11" t="s">
        <v>540</v>
      </c>
      <c r="C133" s="6" t="s">
        <v>376</v>
      </c>
      <c r="D133" s="51">
        <f t="shared" si="28"/>
        <v>-1338850.4</v>
      </c>
      <c r="E133" s="51">
        <f>+E135+E140</f>
        <v>0</v>
      </c>
      <c r="F133" s="51">
        <f>+F135+F140</f>
        <v>-1338850.4</v>
      </c>
      <c r="G133" s="57">
        <f t="shared" si="29"/>
        <v>-683595.8</v>
      </c>
      <c r="H133" s="57">
        <f>+H135+H140</f>
        <v>0</v>
      </c>
      <c r="I133" s="57">
        <f>+I135+I140</f>
        <v>-683595.8</v>
      </c>
      <c r="J133" s="51">
        <f t="shared" si="30"/>
        <v>-1000000</v>
      </c>
      <c r="K133" s="79">
        <f>+K135+K140</f>
        <v>0</v>
      </c>
      <c r="L133" s="79">
        <f>+L135+L140</f>
        <v>-1000000</v>
      </c>
      <c r="M133" s="51">
        <f t="shared" si="22"/>
        <v>-316404.19999999995</v>
      </c>
      <c r="N133" s="51">
        <f t="shared" si="23"/>
        <v>0</v>
      </c>
      <c r="O133" s="51">
        <f t="shared" si="24"/>
        <v>-316404.19999999995</v>
      </c>
      <c r="P133" s="51">
        <f t="shared" si="31"/>
        <v>0</v>
      </c>
      <c r="Q133" s="51">
        <f t="shared" si="25"/>
        <v>0</v>
      </c>
      <c r="R133" s="51">
        <f>+R135+R140</f>
        <v>0</v>
      </c>
      <c r="S133" s="51">
        <f t="shared" si="32"/>
        <v>0</v>
      </c>
      <c r="T133" s="51">
        <f t="shared" si="26"/>
        <v>0</v>
      </c>
      <c r="U133" s="51">
        <f>+U135+U140</f>
        <v>0</v>
      </c>
      <c r="V133" s="52"/>
      <c r="W133" s="53"/>
      <c r="X133" s="53"/>
    </row>
    <row r="134" spans="1:24" ht="12.75" customHeight="1">
      <c r="A134" s="14"/>
      <c r="B134" s="13" t="s">
        <v>5</v>
      </c>
      <c r="C134" s="14"/>
      <c r="D134" s="51">
        <f t="shared" si="28"/>
        <v>0</v>
      </c>
      <c r="E134" s="54"/>
      <c r="F134" s="54"/>
      <c r="G134" s="57">
        <f t="shared" si="29"/>
        <v>0</v>
      </c>
      <c r="H134" s="58"/>
      <c r="I134" s="58"/>
      <c r="J134" s="51">
        <f t="shared" si="30"/>
        <v>0</v>
      </c>
      <c r="K134" s="75"/>
      <c r="L134" s="75"/>
      <c r="M134" s="51">
        <f t="shared" si="22"/>
        <v>0</v>
      </c>
      <c r="N134" s="51">
        <f t="shared" si="23"/>
        <v>0</v>
      </c>
      <c r="O134" s="51">
        <f t="shared" si="24"/>
        <v>0</v>
      </c>
      <c r="P134" s="51">
        <f t="shared" si="31"/>
        <v>0</v>
      </c>
      <c r="Q134" s="51">
        <f t="shared" si="25"/>
        <v>0</v>
      </c>
      <c r="R134" s="47"/>
      <c r="S134" s="51">
        <f t="shared" si="32"/>
        <v>0</v>
      </c>
      <c r="T134" s="51">
        <f t="shared" si="26"/>
        <v>0</v>
      </c>
      <c r="U134" s="47"/>
      <c r="V134" s="55"/>
      <c r="W134" s="50"/>
      <c r="X134" s="50"/>
    </row>
    <row r="135" spans="1:24" s="4" customFormat="1" ht="27.75" customHeight="1">
      <c r="A135" s="6" t="s">
        <v>541</v>
      </c>
      <c r="B135" s="11" t="s">
        <v>542</v>
      </c>
      <c r="C135" s="6" t="s">
        <v>376</v>
      </c>
      <c r="D135" s="51">
        <f t="shared" si="28"/>
        <v>-99990</v>
      </c>
      <c r="E135" s="51">
        <f>+E137+E138</f>
        <v>0</v>
      </c>
      <c r="F135" s="51">
        <f>+F137+F138+F139</f>
        <v>-99990</v>
      </c>
      <c r="G135" s="57">
        <f t="shared" si="29"/>
        <v>-283595.8</v>
      </c>
      <c r="H135" s="57">
        <f>+H137+H138</f>
        <v>0</v>
      </c>
      <c r="I135" s="57">
        <f>+I137+I138+I139</f>
        <v>-283595.8</v>
      </c>
      <c r="J135" s="51">
        <f t="shared" si="30"/>
        <v>0</v>
      </c>
      <c r="K135" s="79">
        <f>+K137+K138</f>
        <v>0</v>
      </c>
      <c r="L135" s="79">
        <f>+L137+L138</f>
        <v>0</v>
      </c>
      <c r="M135" s="51">
        <f t="shared" si="22"/>
        <v>283595.8</v>
      </c>
      <c r="N135" s="51">
        <f t="shared" si="23"/>
        <v>0</v>
      </c>
      <c r="O135" s="51">
        <f t="shared" si="24"/>
        <v>283595.8</v>
      </c>
      <c r="P135" s="51">
        <f t="shared" si="31"/>
        <v>0</v>
      </c>
      <c r="Q135" s="51">
        <f t="shared" si="25"/>
        <v>0</v>
      </c>
      <c r="R135" s="51">
        <f>+R137+R138</f>
        <v>0</v>
      </c>
      <c r="S135" s="51">
        <f t="shared" si="32"/>
        <v>0</v>
      </c>
      <c r="T135" s="51">
        <f t="shared" si="26"/>
        <v>0</v>
      </c>
      <c r="U135" s="51">
        <f>+U137+U138</f>
        <v>0</v>
      </c>
      <c r="V135" s="52"/>
      <c r="W135" s="53"/>
      <c r="X135" s="53"/>
    </row>
    <row r="136" spans="1:24" ht="12.75" customHeight="1">
      <c r="A136" s="14"/>
      <c r="B136" s="13" t="s">
        <v>5</v>
      </c>
      <c r="C136" s="14"/>
      <c r="D136" s="51">
        <f t="shared" si="28"/>
        <v>0</v>
      </c>
      <c r="E136" s="54"/>
      <c r="F136" s="54"/>
      <c r="G136" s="57">
        <f t="shared" si="29"/>
        <v>0</v>
      </c>
      <c r="H136" s="58"/>
      <c r="I136" s="58"/>
      <c r="J136" s="51">
        <f t="shared" si="30"/>
        <v>0</v>
      </c>
      <c r="K136" s="73"/>
      <c r="L136" s="73"/>
      <c r="M136" s="51">
        <f t="shared" si="22"/>
        <v>0</v>
      </c>
      <c r="N136" s="51">
        <f t="shared" si="23"/>
        <v>0</v>
      </c>
      <c r="O136" s="51">
        <f t="shared" si="24"/>
        <v>0</v>
      </c>
      <c r="P136" s="51">
        <f t="shared" si="31"/>
        <v>0</v>
      </c>
      <c r="Q136" s="51">
        <f t="shared" si="25"/>
        <v>0</v>
      </c>
      <c r="R136" s="45"/>
      <c r="S136" s="51">
        <f t="shared" si="32"/>
        <v>0</v>
      </c>
      <c r="T136" s="51">
        <f t="shared" si="26"/>
        <v>0</v>
      </c>
      <c r="U136" s="45"/>
      <c r="V136" s="55"/>
      <c r="W136" s="50"/>
      <c r="X136" s="50"/>
    </row>
    <row r="137" spans="1:24" ht="12.75" customHeight="1">
      <c r="A137" s="14" t="s">
        <v>543</v>
      </c>
      <c r="B137" s="13" t="s">
        <v>544</v>
      </c>
      <c r="C137" s="14" t="s">
        <v>545</v>
      </c>
      <c r="D137" s="51">
        <f t="shared" si="28"/>
        <v>-91026.8</v>
      </c>
      <c r="E137" s="54"/>
      <c r="F137" s="54">
        <v>-91026.8</v>
      </c>
      <c r="G137" s="57">
        <f t="shared" si="29"/>
        <v>0</v>
      </c>
      <c r="H137" s="58"/>
      <c r="I137" s="58"/>
      <c r="J137" s="51">
        <f t="shared" si="30"/>
        <v>0</v>
      </c>
      <c r="K137" s="75"/>
      <c r="L137" s="75"/>
      <c r="M137" s="51">
        <f t="shared" si="22"/>
        <v>0</v>
      </c>
      <c r="N137" s="51">
        <f t="shared" si="23"/>
        <v>0</v>
      </c>
      <c r="O137" s="51">
        <f t="shared" si="24"/>
        <v>0</v>
      </c>
      <c r="P137" s="51">
        <f t="shared" si="31"/>
        <v>0</v>
      </c>
      <c r="Q137" s="51">
        <f t="shared" si="25"/>
        <v>0</v>
      </c>
      <c r="R137" s="47"/>
      <c r="S137" s="51">
        <f t="shared" si="32"/>
        <v>0</v>
      </c>
      <c r="T137" s="51">
        <f t="shared" si="26"/>
        <v>0</v>
      </c>
      <c r="U137" s="47"/>
      <c r="V137" s="55"/>
      <c r="W137" s="50"/>
      <c r="X137" s="50"/>
    </row>
    <row r="138" spans="1:24" ht="12.75" customHeight="1">
      <c r="A138" s="14" t="s">
        <v>546</v>
      </c>
      <c r="B138" s="13" t="s">
        <v>547</v>
      </c>
      <c r="C138" s="14" t="s">
        <v>548</v>
      </c>
      <c r="D138" s="51">
        <f t="shared" si="28"/>
        <v>0</v>
      </c>
      <c r="E138" s="54"/>
      <c r="F138" s="54"/>
      <c r="G138" s="57">
        <f t="shared" si="29"/>
        <v>0</v>
      </c>
      <c r="H138" s="58"/>
      <c r="I138" s="58"/>
      <c r="J138" s="51">
        <f t="shared" si="30"/>
        <v>0</v>
      </c>
      <c r="K138" s="75"/>
      <c r="L138" s="75"/>
      <c r="M138" s="51">
        <f>+J138-G138</f>
        <v>0</v>
      </c>
      <c r="N138" s="51">
        <f>+K138-H138</f>
        <v>0</v>
      </c>
      <c r="O138" s="51">
        <f>+L138-I138</f>
        <v>0</v>
      </c>
      <c r="P138" s="51">
        <f t="shared" si="31"/>
        <v>0</v>
      </c>
      <c r="Q138" s="51">
        <f>+K138</f>
        <v>0</v>
      </c>
      <c r="R138" s="47"/>
      <c r="S138" s="51">
        <f t="shared" si="32"/>
        <v>0</v>
      </c>
      <c r="T138" s="51">
        <f>+K138</f>
        <v>0</v>
      </c>
      <c r="U138" s="47"/>
      <c r="V138" s="55"/>
      <c r="W138" s="50"/>
      <c r="X138" s="50"/>
    </row>
    <row r="139" spans="1:24" ht="12.75" customHeight="1">
      <c r="A139" s="14">
        <v>6130</v>
      </c>
      <c r="B139" s="13" t="s">
        <v>693</v>
      </c>
      <c r="C139" s="14">
        <v>8131</v>
      </c>
      <c r="D139" s="51">
        <f t="shared" si="28"/>
        <v>-8963.2</v>
      </c>
      <c r="E139" s="54"/>
      <c r="F139" s="54">
        <v>-8963.2</v>
      </c>
      <c r="G139" s="57"/>
      <c r="H139" s="58"/>
      <c r="I139" s="58">
        <v>-283595.8</v>
      </c>
      <c r="J139" s="51"/>
      <c r="K139" s="75"/>
      <c r="L139" s="75">
        <v>-533645</v>
      </c>
      <c r="M139" s="51">
        <f>+J139-G139</f>
        <v>0</v>
      </c>
      <c r="N139" s="51">
        <f>+K139-H139</f>
        <v>0</v>
      </c>
      <c r="O139" s="51">
        <f>+L139-I139</f>
        <v>-250049.2</v>
      </c>
      <c r="P139" s="51"/>
      <c r="Q139" s="51">
        <f>+K139</f>
        <v>0</v>
      </c>
      <c r="R139" s="47"/>
      <c r="S139" s="51"/>
      <c r="T139" s="51">
        <f>+K139</f>
        <v>0</v>
      </c>
      <c r="U139" s="47"/>
      <c r="V139" s="55"/>
      <c r="W139" s="50"/>
      <c r="X139" s="50"/>
    </row>
    <row r="140" spans="1:24" s="4" customFormat="1" ht="27.75" customHeight="1">
      <c r="A140" s="6" t="s">
        <v>549</v>
      </c>
      <c r="B140" s="11" t="s">
        <v>550</v>
      </c>
      <c r="C140" s="6" t="s">
        <v>376</v>
      </c>
      <c r="D140" s="51">
        <f t="shared" si="28"/>
        <v>-1238860.4</v>
      </c>
      <c r="E140" s="51">
        <f aca="true" t="shared" si="41" ref="E140:U140">+E142</f>
        <v>0</v>
      </c>
      <c r="F140" s="51">
        <f t="shared" si="41"/>
        <v>-1238860.4</v>
      </c>
      <c r="G140" s="57">
        <f t="shared" si="29"/>
        <v>-400000</v>
      </c>
      <c r="H140" s="57">
        <f t="shared" si="41"/>
        <v>0</v>
      </c>
      <c r="I140" s="57">
        <f t="shared" si="41"/>
        <v>-400000</v>
      </c>
      <c r="J140" s="51">
        <f t="shared" si="30"/>
        <v>-1000000</v>
      </c>
      <c r="K140" s="79">
        <f t="shared" si="41"/>
        <v>0</v>
      </c>
      <c r="L140" s="79">
        <f t="shared" si="41"/>
        <v>-1000000</v>
      </c>
      <c r="M140" s="51">
        <f>+J140-G140</f>
        <v>-600000</v>
      </c>
      <c r="N140" s="51">
        <f>+K140-H140</f>
        <v>0</v>
      </c>
      <c r="O140" s="51">
        <f>+L140-I140</f>
        <v>-600000</v>
      </c>
      <c r="P140" s="51">
        <f t="shared" si="31"/>
        <v>0</v>
      </c>
      <c r="Q140" s="51">
        <f>+K140</f>
        <v>0</v>
      </c>
      <c r="R140" s="51">
        <f t="shared" si="41"/>
        <v>0</v>
      </c>
      <c r="S140" s="51">
        <f t="shared" si="32"/>
        <v>0</v>
      </c>
      <c r="T140" s="51">
        <f>+K140</f>
        <v>0</v>
      </c>
      <c r="U140" s="51">
        <f t="shared" si="41"/>
        <v>0</v>
      </c>
      <c r="V140" s="52"/>
      <c r="W140" s="53"/>
      <c r="X140" s="53"/>
    </row>
    <row r="141" spans="1:24" ht="12.75" customHeight="1">
      <c r="A141" s="14"/>
      <c r="B141" s="13" t="s">
        <v>5</v>
      </c>
      <c r="C141" s="14"/>
      <c r="D141" s="51">
        <f t="shared" si="28"/>
        <v>0</v>
      </c>
      <c r="E141" s="54"/>
      <c r="F141" s="54"/>
      <c r="G141" s="57">
        <f t="shared" si="29"/>
        <v>0</v>
      </c>
      <c r="H141" s="58"/>
      <c r="I141" s="58"/>
      <c r="J141" s="51">
        <f t="shared" si="30"/>
        <v>0</v>
      </c>
      <c r="K141" s="75"/>
      <c r="L141" s="75"/>
      <c r="M141" s="51">
        <f>+J141-G141</f>
        <v>0</v>
      </c>
      <c r="N141" s="51">
        <f>+K141-H141</f>
        <v>0</v>
      </c>
      <c r="O141" s="51">
        <f>+L141-I141</f>
        <v>0</v>
      </c>
      <c r="P141" s="51">
        <f t="shared" si="31"/>
        <v>0</v>
      </c>
      <c r="Q141" s="51">
        <f>+K141</f>
        <v>0</v>
      </c>
      <c r="R141" s="47"/>
      <c r="S141" s="51">
        <f t="shared" si="32"/>
        <v>0</v>
      </c>
      <c r="T141" s="51">
        <f>+K141</f>
        <v>0</v>
      </c>
      <c r="U141" s="47"/>
      <c r="V141" s="55"/>
      <c r="W141" s="50"/>
      <c r="X141" s="50"/>
    </row>
    <row r="142" spans="1:24" ht="12.75" customHeight="1">
      <c r="A142" s="14" t="s">
        <v>551</v>
      </c>
      <c r="B142" s="13" t="s">
        <v>552</v>
      </c>
      <c r="C142" s="14" t="s">
        <v>553</v>
      </c>
      <c r="D142" s="51">
        <f t="shared" si="28"/>
        <v>-1238860.4</v>
      </c>
      <c r="E142" s="54"/>
      <c r="F142" s="54">
        <v>-1238860.4</v>
      </c>
      <c r="G142" s="57"/>
      <c r="H142" s="58"/>
      <c r="I142" s="58">
        <v>-400000</v>
      </c>
      <c r="J142" s="51">
        <f t="shared" si="30"/>
        <v>-1000000</v>
      </c>
      <c r="K142" s="75"/>
      <c r="L142" s="75">
        <v>-1000000</v>
      </c>
      <c r="M142" s="51">
        <f>+J142-G142</f>
        <v>-1000000</v>
      </c>
      <c r="N142" s="51">
        <f>+K142-H142</f>
        <v>0</v>
      </c>
      <c r="O142" s="51">
        <f>+L142-I142</f>
        <v>-600000</v>
      </c>
      <c r="P142" s="51">
        <f t="shared" si="31"/>
        <v>0</v>
      </c>
      <c r="Q142" s="51">
        <f>+K142</f>
        <v>0</v>
      </c>
      <c r="R142" s="47"/>
      <c r="S142" s="51">
        <f t="shared" si="32"/>
        <v>0</v>
      </c>
      <c r="T142" s="47"/>
      <c r="U142" s="47"/>
      <c r="V142" s="55"/>
      <c r="W142" s="50"/>
      <c r="X142" s="50"/>
    </row>
    <row r="143" spans="3:24" ht="10.5">
      <c r="C143" s="3"/>
      <c r="D143" s="48"/>
      <c r="E143" s="48"/>
      <c r="F143" s="48"/>
      <c r="G143" s="48"/>
      <c r="H143" s="48"/>
      <c r="I143" s="48"/>
      <c r="J143" s="48"/>
      <c r="K143" s="81"/>
      <c r="L143" s="81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50"/>
      <c r="X143" s="50"/>
    </row>
    <row r="144" spans="3:24" ht="10.5">
      <c r="C144" s="3"/>
      <c r="D144" s="48"/>
      <c r="E144" s="48"/>
      <c r="F144" s="48"/>
      <c r="G144" s="48"/>
      <c r="H144" s="48"/>
      <c r="I144" s="48"/>
      <c r="J144" s="48"/>
      <c r="K144" s="81"/>
      <c r="L144" s="81"/>
      <c r="M144" s="48"/>
      <c r="N144" s="48"/>
      <c r="O144" s="48"/>
      <c r="P144" s="48"/>
      <c r="Q144" s="48"/>
      <c r="R144" s="48"/>
      <c r="S144" s="48"/>
      <c r="T144" s="48"/>
      <c r="U144" s="48"/>
      <c r="V144" s="50"/>
      <c r="W144" s="50"/>
      <c r="X144" s="50"/>
    </row>
    <row r="145" spans="3:24" ht="10.5">
      <c r="C145" s="3"/>
      <c r="D145" s="48"/>
      <c r="E145" s="48"/>
      <c r="F145" s="48"/>
      <c r="G145" s="48"/>
      <c r="H145" s="48"/>
      <c r="I145" s="48"/>
      <c r="J145" s="48"/>
      <c r="K145" s="81"/>
      <c r="L145" s="81"/>
      <c r="M145" s="48"/>
      <c r="N145" s="48"/>
      <c r="O145" s="48"/>
      <c r="P145" s="48"/>
      <c r="Q145" s="48"/>
      <c r="R145" s="48"/>
      <c r="S145" s="48"/>
      <c r="T145" s="48"/>
      <c r="U145" s="48"/>
      <c r="V145" s="50"/>
      <c r="W145" s="50"/>
      <c r="X145" s="50"/>
    </row>
    <row r="146" spans="3:24" ht="10.5">
      <c r="C146" s="3"/>
      <c r="D146" s="48"/>
      <c r="E146" s="48"/>
      <c r="F146" s="48"/>
      <c r="G146" s="48"/>
      <c r="H146" s="48"/>
      <c r="I146" s="48"/>
      <c r="J146" s="48"/>
      <c r="K146" s="81"/>
      <c r="L146" s="81"/>
      <c r="M146" s="48"/>
      <c r="N146" s="48"/>
      <c r="O146" s="48"/>
      <c r="P146" s="48"/>
      <c r="Q146" s="48"/>
      <c r="R146" s="48"/>
      <c r="S146" s="48"/>
      <c r="T146" s="48"/>
      <c r="U146" s="48"/>
      <c r="V146" s="50"/>
      <c r="W146" s="50"/>
      <c r="X146" s="50"/>
    </row>
    <row r="147" spans="3:24" ht="10.5">
      <c r="C147" s="3"/>
      <c r="D147" s="48"/>
      <c r="E147" s="48"/>
      <c r="F147" s="48"/>
      <c r="G147" s="48"/>
      <c r="H147" s="48"/>
      <c r="I147" s="48"/>
      <c r="J147" s="48"/>
      <c r="K147" s="81"/>
      <c r="L147" s="81"/>
      <c r="M147" s="48"/>
      <c r="N147" s="48"/>
      <c r="O147" s="48"/>
      <c r="P147" s="48"/>
      <c r="Q147" s="48"/>
      <c r="R147" s="48"/>
      <c r="S147" s="48"/>
      <c r="T147" s="48"/>
      <c r="U147" s="48"/>
      <c r="V147" s="50"/>
      <c r="W147" s="50"/>
      <c r="X147" s="50"/>
    </row>
    <row r="148" spans="3:24" ht="10.5">
      <c r="C148" s="3"/>
      <c r="D148" s="48"/>
      <c r="E148" s="48"/>
      <c r="F148" s="48"/>
      <c r="G148" s="48"/>
      <c r="H148" s="48"/>
      <c r="I148" s="48"/>
      <c r="J148" s="48"/>
      <c r="K148" s="81"/>
      <c r="L148" s="81"/>
      <c r="M148" s="48"/>
      <c r="N148" s="48"/>
      <c r="O148" s="48"/>
      <c r="P148" s="48"/>
      <c r="Q148" s="48"/>
      <c r="R148" s="48"/>
      <c r="S148" s="48"/>
      <c r="T148" s="48"/>
      <c r="U148" s="48"/>
      <c r="V148" s="50"/>
      <c r="W148" s="50"/>
      <c r="X148" s="50"/>
    </row>
    <row r="149" spans="3:24" ht="10.5">
      <c r="C149" s="3"/>
      <c r="D149" s="48"/>
      <c r="E149" s="48"/>
      <c r="F149" s="48"/>
      <c r="G149" s="48"/>
      <c r="H149" s="48"/>
      <c r="I149" s="48"/>
      <c r="J149" s="48"/>
      <c r="K149" s="81"/>
      <c r="L149" s="81"/>
      <c r="M149" s="48"/>
      <c r="N149" s="48"/>
      <c r="O149" s="48"/>
      <c r="P149" s="48"/>
      <c r="Q149" s="48"/>
      <c r="R149" s="48"/>
      <c r="S149" s="48"/>
      <c r="T149" s="48"/>
      <c r="U149" s="48"/>
      <c r="V149" s="50"/>
      <c r="W149" s="50"/>
      <c r="X149" s="50"/>
    </row>
    <row r="150" spans="3:24" ht="10.5">
      <c r="C150" s="3"/>
      <c r="D150" s="48"/>
      <c r="E150" s="48"/>
      <c r="F150" s="48"/>
      <c r="G150" s="48"/>
      <c r="H150" s="48"/>
      <c r="I150" s="48"/>
      <c r="J150" s="48"/>
      <c r="K150" s="81"/>
      <c r="L150" s="81"/>
      <c r="M150" s="48"/>
      <c r="N150" s="48"/>
      <c r="O150" s="48"/>
      <c r="P150" s="48"/>
      <c r="Q150" s="48"/>
      <c r="R150" s="48"/>
      <c r="S150" s="48"/>
      <c r="T150" s="48"/>
      <c r="U150" s="48"/>
      <c r="V150" s="50"/>
      <c r="W150" s="50"/>
      <c r="X150" s="50"/>
    </row>
    <row r="151" spans="3:24" ht="10.5">
      <c r="C151" s="3"/>
      <c r="D151" s="48"/>
      <c r="E151" s="48"/>
      <c r="F151" s="48"/>
      <c r="G151" s="48"/>
      <c r="H151" s="48"/>
      <c r="I151" s="48"/>
      <c r="J151" s="48"/>
      <c r="K151" s="81"/>
      <c r="L151" s="81"/>
      <c r="M151" s="48"/>
      <c r="N151" s="48"/>
      <c r="O151" s="48"/>
      <c r="P151" s="48"/>
      <c r="Q151" s="48"/>
      <c r="R151" s="48"/>
      <c r="S151" s="48"/>
      <c r="T151" s="48"/>
      <c r="U151" s="48"/>
      <c r="V151" s="50"/>
      <c r="W151" s="50"/>
      <c r="X151" s="50"/>
    </row>
    <row r="152" spans="3:24" ht="10.5">
      <c r="C152" s="3"/>
      <c r="D152" s="48"/>
      <c r="E152" s="48"/>
      <c r="F152" s="48"/>
      <c r="G152" s="48"/>
      <c r="H152" s="48"/>
      <c r="I152" s="48"/>
      <c r="J152" s="48"/>
      <c r="K152" s="81"/>
      <c r="L152" s="81"/>
      <c r="M152" s="48"/>
      <c r="N152" s="48"/>
      <c r="O152" s="48"/>
      <c r="P152" s="48"/>
      <c r="Q152" s="48"/>
      <c r="R152" s="48"/>
      <c r="S152" s="48"/>
      <c r="T152" s="48"/>
      <c r="U152" s="48"/>
      <c r="V152" s="50"/>
      <c r="W152" s="50"/>
      <c r="X152" s="50"/>
    </row>
    <row r="153" spans="3:24" ht="10.5">
      <c r="C153" s="3"/>
      <c r="D153" s="48"/>
      <c r="E153" s="48"/>
      <c r="F153" s="48"/>
      <c r="G153" s="48"/>
      <c r="H153" s="48"/>
      <c r="I153" s="48"/>
      <c r="J153" s="48"/>
      <c r="K153" s="81"/>
      <c r="L153" s="81"/>
      <c r="M153" s="48"/>
      <c r="N153" s="48"/>
      <c r="O153" s="48"/>
      <c r="P153" s="48"/>
      <c r="Q153" s="48"/>
      <c r="R153" s="48"/>
      <c r="S153" s="48"/>
      <c r="T153" s="48"/>
      <c r="U153" s="48"/>
      <c r="V153" s="50"/>
      <c r="W153" s="50"/>
      <c r="X153" s="50"/>
    </row>
    <row r="154" spans="3:24" ht="10.5">
      <c r="C154" s="3"/>
      <c r="D154" s="48"/>
      <c r="E154" s="48"/>
      <c r="F154" s="48"/>
      <c r="G154" s="48"/>
      <c r="H154" s="48"/>
      <c r="I154" s="48"/>
      <c r="J154" s="48"/>
      <c r="K154" s="81"/>
      <c r="L154" s="81"/>
      <c r="M154" s="48"/>
      <c r="N154" s="48"/>
      <c r="O154" s="48"/>
      <c r="P154" s="48"/>
      <c r="Q154" s="48"/>
      <c r="R154" s="48"/>
      <c r="S154" s="48"/>
      <c r="T154" s="48"/>
      <c r="U154" s="48"/>
      <c r="V154" s="50"/>
      <c r="W154" s="50"/>
      <c r="X154" s="50"/>
    </row>
    <row r="155" spans="3:24" ht="10.5">
      <c r="C155" s="3"/>
      <c r="D155" s="48"/>
      <c r="E155" s="48"/>
      <c r="F155" s="48"/>
      <c r="G155" s="48"/>
      <c r="H155" s="48"/>
      <c r="I155" s="48"/>
      <c r="J155" s="48"/>
      <c r="K155" s="81"/>
      <c r="L155" s="81"/>
      <c r="M155" s="48"/>
      <c r="N155" s="48"/>
      <c r="O155" s="48"/>
      <c r="P155" s="48"/>
      <c r="Q155" s="48"/>
      <c r="R155" s="48"/>
      <c r="S155" s="48"/>
      <c r="T155" s="48"/>
      <c r="U155" s="48"/>
      <c r="V155" s="50"/>
      <c r="W155" s="50"/>
      <c r="X155" s="50"/>
    </row>
    <row r="156" spans="3:24" ht="10.5">
      <c r="C156" s="3"/>
      <c r="D156" s="48"/>
      <c r="E156" s="48"/>
      <c r="F156" s="48"/>
      <c r="G156" s="48"/>
      <c r="H156" s="48"/>
      <c r="I156" s="48"/>
      <c r="J156" s="48"/>
      <c r="K156" s="81"/>
      <c r="L156" s="81"/>
      <c r="M156" s="48"/>
      <c r="N156" s="48"/>
      <c r="O156" s="48"/>
      <c r="P156" s="48"/>
      <c r="Q156" s="48"/>
      <c r="R156" s="48"/>
      <c r="S156" s="48"/>
      <c r="T156" s="48"/>
      <c r="U156" s="48"/>
      <c r="V156" s="50"/>
      <c r="W156" s="50"/>
      <c r="X156" s="50"/>
    </row>
    <row r="157" spans="3:24" ht="10.5">
      <c r="C157" s="3"/>
      <c r="D157" s="48"/>
      <c r="E157" s="48"/>
      <c r="F157" s="48"/>
      <c r="G157" s="48"/>
      <c r="H157" s="48"/>
      <c r="I157" s="48"/>
      <c r="J157" s="48"/>
      <c r="K157" s="81"/>
      <c r="L157" s="81"/>
      <c r="M157" s="48"/>
      <c r="N157" s="48"/>
      <c r="O157" s="48"/>
      <c r="P157" s="48"/>
      <c r="Q157" s="48"/>
      <c r="R157" s="48"/>
      <c r="S157" s="48"/>
      <c r="T157" s="48"/>
      <c r="U157" s="48"/>
      <c r="V157" s="50"/>
      <c r="W157" s="50"/>
      <c r="X157" s="50"/>
    </row>
    <row r="158" spans="4:24" ht="10.5">
      <c r="D158" s="56"/>
      <c r="E158" s="56"/>
      <c r="F158" s="56"/>
      <c r="G158" s="56"/>
      <c r="H158" s="56"/>
      <c r="I158" s="56"/>
      <c r="J158" s="49"/>
      <c r="K158" s="76"/>
      <c r="L158" s="76"/>
      <c r="M158" s="49"/>
      <c r="N158" s="49"/>
      <c r="O158" s="49"/>
      <c r="P158" s="49"/>
      <c r="Q158" s="49"/>
      <c r="R158" s="49"/>
      <c r="S158" s="49"/>
      <c r="T158" s="49"/>
      <c r="U158" s="49"/>
      <c r="V158" s="50"/>
      <c r="W158" s="50"/>
      <c r="X158" s="50"/>
    </row>
  </sheetData>
  <sheetProtection/>
  <mergeCells count="25">
    <mergeCell ref="S1:V1"/>
    <mergeCell ref="V6:V7"/>
    <mergeCell ref="T2:V2"/>
    <mergeCell ref="A3:U3"/>
    <mergeCell ref="A5:A7"/>
    <mergeCell ref="B5:B7"/>
    <mergeCell ref="C5:C7"/>
    <mergeCell ref="J6:J7"/>
    <mergeCell ref="K6:L6"/>
    <mergeCell ref="S6:S7"/>
    <mergeCell ref="T6:U6"/>
    <mergeCell ref="D5:F5"/>
    <mergeCell ref="G5:I5"/>
    <mergeCell ref="D6:D7"/>
    <mergeCell ref="E6:F6"/>
    <mergeCell ref="G6:G7"/>
    <mergeCell ref="H6:I6"/>
    <mergeCell ref="P5:R5"/>
    <mergeCell ref="S5:U5"/>
    <mergeCell ref="P6:P7"/>
    <mergeCell ref="Q6:R6"/>
    <mergeCell ref="N6:O6"/>
    <mergeCell ref="J5:L5"/>
    <mergeCell ref="M5:O5"/>
    <mergeCell ref="M6:M7"/>
  </mergeCells>
  <printOptions/>
  <pageMargins left="0" right="0" top="0" bottom="0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24"/>
  <sheetViews>
    <sheetView zoomScale="120" zoomScaleNormal="120" zoomScalePageLayoutView="0" workbookViewId="0" topLeftCell="A1">
      <selection activeCell="I14" sqref="I14"/>
    </sheetView>
  </sheetViews>
  <sheetFormatPr defaultColWidth="9.140625" defaultRowHeight="12.75" customHeight="1"/>
  <cols>
    <col min="1" max="1" width="7.00390625" style="2" customWidth="1"/>
    <col min="2" max="2" width="23.7109375" style="3" customWidth="1"/>
    <col min="3" max="5" width="9.8515625" style="3" customWidth="1"/>
    <col min="6" max="6" width="11.28125" style="3" customWidth="1"/>
    <col min="7" max="7" width="9.8515625" style="3" customWidth="1"/>
    <col min="8" max="8" width="12.8515625" style="3" customWidth="1"/>
    <col min="9" max="11" width="9.8515625" style="1" customWidth="1"/>
    <col min="12" max="12" width="11.00390625" style="1" customWidth="1"/>
    <col min="13" max="20" width="9.8515625" style="1" customWidth="1"/>
    <col min="21" max="21" width="15.7109375" style="0" customWidth="1"/>
  </cols>
  <sheetData>
    <row r="2" spans="1:21" s="138" customFormat="1" ht="66.75" customHeight="1">
      <c r="A2" s="136"/>
      <c r="B2" s="137"/>
      <c r="C2" s="136"/>
      <c r="D2" s="136"/>
      <c r="E2" s="136"/>
      <c r="F2" s="136"/>
      <c r="G2" s="136"/>
      <c r="H2" s="136"/>
      <c r="I2" s="136"/>
      <c r="J2" s="136"/>
      <c r="K2" s="84"/>
      <c r="L2" s="84"/>
      <c r="M2" s="85"/>
      <c r="N2" s="85"/>
      <c r="O2" s="85"/>
      <c r="P2" s="85"/>
      <c r="Q2" s="84"/>
      <c r="R2" s="84"/>
      <c r="S2" s="200" t="s">
        <v>755</v>
      </c>
      <c r="T2" s="200"/>
      <c r="U2" s="200"/>
    </row>
    <row r="3" spans="1:20" ht="21.75" customHeight="1">
      <c r="A3" s="224" t="s">
        <v>763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</row>
    <row r="4" ht="20.25" customHeight="1" thickBot="1">
      <c r="U4" s="22" t="s">
        <v>0</v>
      </c>
    </row>
    <row r="5" spans="1:21" ht="30.75" customHeight="1">
      <c r="A5" s="221"/>
      <c r="B5" s="225"/>
      <c r="C5" s="203" t="s">
        <v>600</v>
      </c>
      <c r="D5" s="203"/>
      <c r="E5" s="203"/>
      <c r="F5" s="203" t="s">
        <v>601</v>
      </c>
      <c r="G5" s="203"/>
      <c r="H5" s="203"/>
      <c r="I5" s="203" t="s">
        <v>183</v>
      </c>
      <c r="J5" s="203"/>
      <c r="K5" s="203"/>
      <c r="L5" s="223" t="s">
        <v>602</v>
      </c>
      <c r="M5" s="223"/>
      <c r="N5" s="223"/>
      <c r="O5" s="203" t="s">
        <v>184</v>
      </c>
      <c r="P5" s="203"/>
      <c r="Q5" s="203"/>
      <c r="R5" s="203" t="s">
        <v>185</v>
      </c>
      <c r="S5" s="203"/>
      <c r="T5" s="203"/>
      <c r="U5" s="37" t="s">
        <v>603</v>
      </c>
    </row>
    <row r="6" spans="1:21" ht="19.5" customHeight="1">
      <c r="A6" s="222"/>
      <c r="B6" s="226"/>
      <c r="C6" s="204" t="s">
        <v>4</v>
      </c>
      <c r="D6" s="204" t="s">
        <v>5</v>
      </c>
      <c r="E6" s="204"/>
      <c r="F6" s="204" t="s">
        <v>4</v>
      </c>
      <c r="G6" s="204" t="s">
        <v>5</v>
      </c>
      <c r="H6" s="204"/>
      <c r="I6" s="204" t="s">
        <v>4</v>
      </c>
      <c r="J6" s="204" t="s">
        <v>5</v>
      </c>
      <c r="K6" s="204"/>
      <c r="L6" s="204" t="s">
        <v>4</v>
      </c>
      <c r="M6" s="204" t="s">
        <v>5</v>
      </c>
      <c r="N6" s="204"/>
      <c r="O6" s="204" t="s">
        <v>4</v>
      </c>
      <c r="P6" s="204" t="s">
        <v>5</v>
      </c>
      <c r="Q6" s="204"/>
      <c r="R6" s="204" t="s">
        <v>4</v>
      </c>
      <c r="S6" s="204" t="s">
        <v>5</v>
      </c>
      <c r="T6" s="204"/>
      <c r="U6" s="212" t="s">
        <v>604</v>
      </c>
    </row>
    <row r="7" spans="1:21" ht="66.75" customHeight="1">
      <c r="A7" s="222"/>
      <c r="B7" s="226"/>
      <c r="C7" s="204"/>
      <c r="D7" s="9" t="s">
        <v>6</v>
      </c>
      <c r="E7" s="9" t="s">
        <v>7</v>
      </c>
      <c r="F7" s="204"/>
      <c r="G7" s="9" t="s">
        <v>6</v>
      </c>
      <c r="H7" s="9" t="s">
        <v>7</v>
      </c>
      <c r="I7" s="204"/>
      <c r="J7" s="9" t="s">
        <v>6</v>
      </c>
      <c r="K7" s="9" t="s">
        <v>7</v>
      </c>
      <c r="L7" s="204"/>
      <c r="M7" s="9" t="s">
        <v>6</v>
      </c>
      <c r="N7" s="9" t="s">
        <v>7</v>
      </c>
      <c r="O7" s="204"/>
      <c r="P7" s="9" t="s">
        <v>6</v>
      </c>
      <c r="Q7" s="9" t="s">
        <v>7</v>
      </c>
      <c r="R7" s="204"/>
      <c r="S7" s="9" t="s">
        <v>6</v>
      </c>
      <c r="T7" s="9" t="s">
        <v>7</v>
      </c>
      <c r="U7" s="212"/>
    </row>
    <row r="8" spans="1:21" s="4" customFormat="1" ht="21.75" customHeight="1">
      <c r="A8" s="5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31">
        <v>21</v>
      </c>
    </row>
    <row r="9" spans="1:21" ht="18.75" customHeight="1">
      <c r="A9" s="10" t="s">
        <v>1</v>
      </c>
      <c r="B9" s="7" t="s">
        <v>10</v>
      </c>
      <c r="C9" s="7"/>
      <c r="D9" s="7"/>
      <c r="E9" s="7"/>
      <c r="F9" s="7"/>
      <c r="G9" s="7"/>
      <c r="H9" s="7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39"/>
    </row>
    <row r="10" spans="1:21" s="4" customFormat="1" ht="56.25" customHeight="1" thickBot="1">
      <c r="A10" s="32" t="s">
        <v>554</v>
      </c>
      <c r="B10" s="33" t="s">
        <v>555</v>
      </c>
      <c r="C10" s="33">
        <f>+D10+E10</f>
        <v>-94436.59999999998</v>
      </c>
      <c r="D10" s="33">
        <v>424319.2</v>
      </c>
      <c r="E10" s="33">
        <v>-518755.8</v>
      </c>
      <c r="F10" s="33">
        <f>+G10+H10</f>
        <v>-1420651.2</v>
      </c>
      <c r="G10" s="33"/>
      <c r="H10" s="33">
        <v>-1420651.2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</row>
    <row r="11" spans="2:20" ht="12.7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9:20" ht="12.75" customHeight="1"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9:20" ht="12.75" customHeight="1"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9:20" ht="12.75" customHeight="1"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9:20" ht="12.75" customHeight="1"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9:20" ht="12.75" customHeight="1"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9:20" ht="12.75" customHeight="1"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9:20" ht="12.75" customHeight="1"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9:20" ht="12.75" customHeight="1"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9:20" ht="12.75" customHeight="1"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9:20" ht="12.75" customHeight="1"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9:20" ht="12.75" customHeight="1"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9:20" ht="12.75" customHeight="1"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9:20" ht="12.75" customHeight="1"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</sheetData>
  <sheetProtection/>
  <mergeCells count="23">
    <mergeCell ref="S2:U2"/>
    <mergeCell ref="O5:Q5"/>
    <mergeCell ref="R5:T5"/>
    <mergeCell ref="I6:I7"/>
    <mergeCell ref="C6:C7"/>
    <mergeCell ref="O6:O7"/>
    <mergeCell ref="P6:Q6"/>
    <mergeCell ref="U6:U7"/>
    <mergeCell ref="L5:N5"/>
    <mergeCell ref="L6:L7"/>
    <mergeCell ref="M6:N6"/>
    <mergeCell ref="A3:T3"/>
    <mergeCell ref="I5:K5"/>
    <mergeCell ref="R6:R7"/>
    <mergeCell ref="S6:T6"/>
    <mergeCell ref="B5:B7"/>
    <mergeCell ref="A5:A7"/>
    <mergeCell ref="D6:E6"/>
    <mergeCell ref="F6:F7"/>
    <mergeCell ref="G6:H6"/>
    <mergeCell ref="J6:K6"/>
    <mergeCell ref="C5:E5"/>
    <mergeCell ref="F5:H5"/>
  </mergeCells>
  <printOptions/>
  <pageMargins left="0" right="0" top="0.1968503937007874" bottom="0.1968503937007874" header="0.31496062992125984" footer="0.3149606299212598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V38"/>
  <sheetViews>
    <sheetView tabSelected="1" zoomScale="120" zoomScaleNormal="120" zoomScalePageLayoutView="0" workbookViewId="0" topLeftCell="A22">
      <selection activeCell="G55" sqref="G55"/>
    </sheetView>
  </sheetViews>
  <sheetFormatPr defaultColWidth="9.140625" defaultRowHeight="12"/>
  <cols>
    <col min="1" max="1" width="12.00390625" style="2" customWidth="1"/>
    <col min="2" max="2" width="26.140625" style="3" customWidth="1"/>
    <col min="3" max="3" width="6.7109375" style="2" customWidth="1"/>
    <col min="4" max="9" width="10.8515625" style="2" customWidth="1"/>
    <col min="10" max="21" width="10.8515625" style="1" customWidth="1"/>
    <col min="22" max="22" width="18.00390625" style="0" customWidth="1"/>
  </cols>
  <sheetData>
    <row r="2" spans="1:21" s="138" customFormat="1" ht="66.75" customHeight="1">
      <c r="A2" s="136"/>
      <c r="B2" s="137"/>
      <c r="C2" s="136"/>
      <c r="D2" s="136"/>
      <c r="E2" s="136"/>
      <c r="F2" s="136"/>
      <c r="G2" s="136"/>
      <c r="H2" s="136"/>
      <c r="I2" s="136"/>
      <c r="J2" s="136"/>
      <c r="K2" s="84"/>
      <c r="L2" s="84"/>
      <c r="M2" s="85"/>
      <c r="N2" s="85"/>
      <c r="O2" s="85"/>
      <c r="P2" s="85"/>
      <c r="Q2" s="84"/>
      <c r="R2" s="84"/>
      <c r="S2" s="200" t="s">
        <v>756</v>
      </c>
      <c r="T2" s="200"/>
      <c r="U2" s="200"/>
    </row>
    <row r="3" spans="1:21" ht="30" customHeight="1">
      <c r="A3" s="227" t="s">
        <v>764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</row>
    <row r="4" spans="1:22" ht="22.5" customHeight="1" thickBot="1">
      <c r="A4" s="19"/>
      <c r="B4" s="20"/>
      <c r="C4" s="19"/>
      <c r="D4" s="19"/>
      <c r="E4" s="19"/>
      <c r="F4" s="19"/>
      <c r="G4" s="19"/>
      <c r="H4" s="19"/>
      <c r="I4" s="19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V4" s="22" t="s">
        <v>0</v>
      </c>
    </row>
    <row r="5" spans="1:22" ht="23.25" customHeight="1">
      <c r="A5" s="214" t="s">
        <v>1</v>
      </c>
      <c r="B5" s="206" t="s">
        <v>371</v>
      </c>
      <c r="C5" s="205" t="s">
        <v>372</v>
      </c>
      <c r="D5" s="203" t="s">
        <v>600</v>
      </c>
      <c r="E5" s="203"/>
      <c r="F5" s="203"/>
      <c r="G5" s="203" t="s">
        <v>601</v>
      </c>
      <c r="H5" s="203"/>
      <c r="I5" s="203"/>
      <c r="J5" s="203" t="s">
        <v>183</v>
      </c>
      <c r="K5" s="203"/>
      <c r="L5" s="203"/>
      <c r="M5" s="223" t="s">
        <v>602</v>
      </c>
      <c r="N5" s="223"/>
      <c r="O5" s="223"/>
      <c r="P5" s="203" t="s">
        <v>184</v>
      </c>
      <c r="Q5" s="203"/>
      <c r="R5" s="203"/>
      <c r="S5" s="203" t="s">
        <v>185</v>
      </c>
      <c r="T5" s="203"/>
      <c r="U5" s="203"/>
      <c r="V5" s="37" t="s">
        <v>603</v>
      </c>
    </row>
    <row r="6" spans="1:22" ht="24" customHeight="1">
      <c r="A6" s="215"/>
      <c r="B6" s="207"/>
      <c r="C6" s="204"/>
      <c r="D6" s="204" t="s">
        <v>4</v>
      </c>
      <c r="E6" s="204" t="s">
        <v>5</v>
      </c>
      <c r="F6" s="204"/>
      <c r="G6" s="204" t="s">
        <v>4</v>
      </c>
      <c r="H6" s="204" t="s">
        <v>5</v>
      </c>
      <c r="I6" s="204"/>
      <c r="J6" s="204" t="s">
        <v>4</v>
      </c>
      <c r="K6" s="204" t="s">
        <v>5</v>
      </c>
      <c r="L6" s="204"/>
      <c r="M6" s="204" t="s">
        <v>4</v>
      </c>
      <c r="N6" s="204" t="s">
        <v>5</v>
      </c>
      <c r="O6" s="204"/>
      <c r="P6" s="204" t="s">
        <v>4</v>
      </c>
      <c r="Q6" s="204" t="s">
        <v>5</v>
      </c>
      <c r="R6" s="204"/>
      <c r="S6" s="204" t="s">
        <v>4</v>
      </c>
      <c r="T6" s="204" t="s">
        <v>5</v>
      </c>
      <c r="U6" s="204"/>
      <c r="V6" s="212" t="s">
        <v>604</v>
      </c>
    </row>
    <row r="7" spans="1:22" ht="35.25" customHeight="1">
      <c r="A7" s="215"/>
      <c r="B7" s="207"/>
      <c r="C7" s="204"/>
      <c r="D7" s="204"/>
      <c r="E7" s="9" t="s">
        <v>6</v>
      </c>
      <c r="F7" s="9" t="s">
        <v>7</v>
      </c>
      <c r="G7" s="204"/>
      <c r="H7" s="9" t="s">
        <v>6</v>
      </c>
      <c r="I7" s="9" t="s">
        <v>7</v>
      </c>
      <c r="J7" s="204"/>
      <c r="K7" s="9" t="s">
        <v>6</v>
      </c>
      <c r="L7" s="9" t="s">
        <v>7</v>
      </c>
      <c r="M7" s="204"/>
      <c r="N7" s="9" t="s">
        <v>6</v>
      </c>
      <c r="O7" s="9" t="s">
        <v>7</v>
      </c>
      <c r="P7" s="204"/>
      <c r="Q7" s="9" t="s">
        <v>6</v>
      </c>
      <c r="R7" s="9" t="s">
        <v>7</v>
      </c>
      <c r="S7" s="204"/>
      <c r="T7" s="9" t="s">
        <v>6</v>
      </c>
      <c r="U7" s="9" t="s">
        <v>7</v>
      </c>
      <c r="V7" s="212"/>
    </row>
    <row r="8" spans="1:22" ht="20.25" customHeight="1">
      <c r="A8" s="10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  <c r="Q8" s="7">
        <v>17</v>
      </c>
      <c r="R8" s="7">
        <v>18</v>
      </c>
      <c r="S8" s="7">
        <v>19</v>
      </c>
      <c r="T8" s="7">
        <v>20</v>
      </c>
      <c r="U8" s="7">
        <v>21</v>
      </c>
      <c r="V8" s="8">
        <v>22</v>
      </c>
    </row>
    <row r="9" spans="1:22" s="4" customFormat="1" ht="10.5">
      <c r="A9" s="5" t="s">
        <v>556</v>
      </c>
      <c r="B9" s="28" t="s">
        <v>557</v>
      </c>
      <c r="C9" s="6" t="s">
        <v>10</v>
      </c>
      <c r="D9" s="6">
        <f>+E9+F9</f>
        <v>1420651.2</v>
      </c>
      <c r="E9" s="6">
        <f aca="true" t="shared" si="0" ref="E9:U9">+E11</f>
        <v>438800.7</v>
      </c>
      <c r="F9" s="6">
        <f t="shared" si="0"/>
        <v>981850.5</v>
      </c>
      <c r="G9" s="6">
        <f>+H9+I9</f>
        <v>1420651.2</v>
      </c>
      <c r="H9" s="6"/>
      <c r="I9" s="6">
        <f t="shared" si="0"/>
        <v>1420651.2</v>
      </c>
      <c r="J9" s="6">
        <f t="shared" si="0"/>
        <v>0</v>
      </c>
      <c r="K9" s="6">
        <v>0</v>
      </c>
      <c r="L9" s="6">
        <f t="shared" si="0"/>
        <v>0</v>
      </c>
      <c r="M9" s="6">
        <f t="shared" si="0"/>
        <v>0</v>
      </c>
      <c r="N9" s="6">
        <f t="shared" si="0"/>
        <v>0</v>
      </c>
      <c r="O9" s="6">
        <f t="shared" si="0"/>
        <v>0</v>
      </c>
      <c r="P9" s="6">
        <f t="shared" si="0"/>
        <v>0</v>
      </c>
      <c r="Q9" s="6">
        <f t="shared" si="0"/>
        <v>0</v>
      </c>
      <c r="R9" s="6">
        <f t="shared" si="0"/>
        <v>0</v>
      </c>
      <c r="S9" s="6">
        <f t="shared" si="0"/>
        <v>0</v>
      </c>
      <c r="T9" s="6">
        <f t="shared" si="0"/>
        <v>0</v>
      </c>
      <c r="U9" s="6">
        <f t="shared" si="0"/>
        <v>0</v>
      </c>
      <c r="V9" s="38"/>
    </row>
    <row r="10" spans="1:22" ht="10.5">
      <c r="A10" s="12"/>
      <c r="B10" s="13" t="s">
        <v>5</v>
      </c>
      <c r="C10" s="14"/>
      <c r="D10" s="6">
        <f aca="true" t="shared" si="1" ref="D10:D38">+E10+F10</f>
        <v>0</v>
      </c>
      <c r="E10" s="14"/>
      <c r="F10" s="14"/>
      <c r="G10" s="14"/>
      <c r="H10" s="14"/>
      <c r="I10" s="14"/>
      <c r="J10" s="16"/>
      <c r="K10" s="16">
        <v>0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39"/>
    </row>
    <row r="11" spans="1:22" s="4" customFormat="1" ht="21">
      <c r="A11" s="5" t="s">
        <v>558</v>
      </c>
      <c r="B11" s="28" t="s">
        <v>559</v>
      </c>
      <c r="C11" s="6" t="s">
        <v>10</v>
      </c>
      <c r="D11" s="6">
        <f t="shared" si="1"/>
        <v>1420651.2</v>
      </c>
      <c r="E11" s="6">
        <f aca="true" t="shared" si="2" ref="E11:U11">+E13+E22</f>
        <v>438800.7</v>
      </c>
      <c r="F11" s="6">
        <f t="shared" si="2"/>
        <v>981850.5</v>
      </c>
      <c r="G11" s="6">
        <f>+H11+I11</f>
        <v>1420651.2</v>
      </c>
      <c r="H11" s="6"/>
      <c r="I11" s="6">
        <f t="shared" si="2"/>
        <v>1420651.2</v>
      </c>
      <c r="J11" s="6">
        <f t="shared" si="2"/>
        <v>0</v>
      </c>
      <c r="K11" s="6">
        <v>0</v>
      </c>
      <c r="L11" s="6">
        <f t="shared" si="2"/>
        <v>0</v>
      </c>
      <c r="M11" s="6">
        <f t="shared" si="2"/>
        <v>0</v>
      </c>
      <c r="N11" s="6">
        <f t="shared" si="2"/>
        <v>0</v>
      </c>
      <c r="O11" s="6">
        <f t="shared" si="2"/>
        <v>0</v>
      </c>
      <c r="P11" s="6">
        <f t="shared" si="2"/>
        <v>0</v>
      </c>
      <c r="Q11" s="6">
        <f t="shared" si="2"/>
        <v>0</v>
      </c>
      <c r="R11" s="6">
        <f t="shared" si="2"/>
        <v>0</v>
      </c>
      <c r="S11" s="6">
        <f t="shared" si="2"/>
        <v>0</v>
      </c>
      <c r="T11" s="6">
        <f t="shared" si="2"/>
        <v>0</v>
      </c>
      <c r="U11" s="6">
        <f t="shared" si="2"/>
        <v>0</v>
      </c>
      <c r="V11" s="38"/>
    </row>
    <row r="12" spans="1:22" ht="10.5">
      <c r="A12" s="12"/>
      <c r="B12" s="13" t="s">
        <v>5</v>
      </c>
      <c r="C12" s="14"/>
      <c r="D12" s="6">
        <f t="shared" si="1"/>
        <v>0</v>
      </c>
      <c r="E12" s="14"/>
      <c r="F12" s="14"/>
      <c r="G12" s="14"/>
      <c r="H12" s="14"/>
      <c r="I12" s="14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39"/>
    </row>
    <row r="13" spans="1:22" s="4" customFormat="1" ht="21">
      <c r="A13" s="5" t="s">
        <v>560</v>
      </c>
      <c r="B13" s="28" t="s">
        <v>561</v>
      </c>
      <c r="C13" s="6" t="s">
        <v>10</v>
      </c>
      <c r="D13" s="6">
        <f t="shared" si="1"/>
        <v>0</v>
      </c>
      <c r="E13" s="6">
        <f aca="true" t="shared" si="3" ref="E13:U13">+E15</f>
        <v>0</v>
      </c>
      <c r="F13" s="6">
        <f t="shared" si="3"/>
        <v>0</v>
      </c>
      <c r="G13" s="6">
        <f t="shared" si="3"/>
        <v>0</v>
      </c>
      <c r="H13" s="6">
        <f t="shared" si="3"/>
        <v>0</v>
      </c>
      <c r="I13" s="6">
        <f t="shared" si="3"/>
        <v>0</v>
      </c>
      <c r="J13" s="6">
        <f t="shared" si="3"/>
        <v>0</v>
      </c>
      <c r="K13" s="6">
        <f t="shared" si="3"/>
        <v>0</v>
      </c>
      <c r="L13" s="6">
        <f t="shared" si="3"/>
        <v>0</v>
      </c>
      <c r="M13" s="6">
        <f t="shared" si="3"/>
        <v>0</v>
      </c>
      <c r="N13" s="6">
        <f t="shared" si="3"/>
        <v>0</v>
      </c>
      <c r="O13" s="6">
        <f t="shared" si="3"/>
        <v>0</v>
      </c>
      <c r="P13" s="6">
        <f t="shared" si="3"/>
        <v>0</v>
      </c>
      <c r="Q13" s="6">
        <f t="shared" si="3"/>
        <v>0</v>
      </c>
      <c r="R13" s="6">
        <f t="shared" si="3"/>
        <v>0</v>
      </c>
      <c r="S13" s="6">
        <f t="shared" si="3"/>
        <v>0</v>
      </c>
      <c r="T13" s="6">
        <f t="shared" si="3"/>
        <v>0</v>
      </c>
      <c r="U13" s="6">
        <f t="shared" si="3"/>
        <v>0</v>
      </c>
      <c r="V13" s="38"/>
    </row>
    <row r="14" spans="1:22" ht="10.5">
      <c r="A14" s="12"/>
      <c r="B14" s="13" t="s">
        <v>5</v>
      </c>
      <c r="C14" s="14"/>
      <c r="D14" s="6">
        <f t="shared" si="1"/>
        <v>0</v>
      </c>
      <c r="E14" s="14"/>
      <c r="F14" s="14"/>
      <c r="G14" s="14"/>
      <c r="H14" s="14"/>
      <c r="I14" s="14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39"/>
    </row>
    <row r="15" spans="1:22" ht="31.5">
      <c r="A15" s="12" t="s">
        <v>562</v>
      </c>
      <c r="B15" s="13" t="s">
        <v>563</v>
      </c>
      <c r="C15" s="14" t="s">
        <v>10</v>
      </c>
      <c r="D15" s="6">
        <f t="shared" si="1"/>
        <v>0</v>
      </c>
      <c r="E15" s="14">
        <f aca="true" t="shared" si="4" ref="E15:U15">+E17</f>
        <v>0</v>
      </c>
      <c r="F15" s="14">
        <f t="shared" si="4"/>
        <v>0</v>
      </c>
      <c r="G15" s="14">
        <f t="shared" si="4"/>
        <v>0</v>
      </c>
      <c r="H15" s="14">
        <f t="shared" si="4"/>
        <v>0</v>
      </c>
      <c r="I15" s="14">
        <f t="shared" si="4"/>
        <v>0</v>
      </c>
      <c r="J15" s="14">
        <f t="shared" si="4"/>
        <v>0</v>
      </c>
      <c r="K15" s="14">
        <f t="shared" si="4"/>
        <v>0</v>
      </c>
      <c r="L15" s="14">
        <f t="shared" si="4"/>
        <v>0</v>
      </c>
      <c r="M15" s="14">
        <f t="shared" si="4"/>
        <v>0</v>
      </c>
      <c r="N15" s="14">
        <f t="shared" si="4"/>
        <v>0</v>
      </c>
      <c r="O15" s="14">
        <f t="shared" si="4"/>
        <v>0</v>
      </c>
      <c r="P15" s="14">
        <f t="shared" si="4"/>
        <v>0</v>
      </c>
      <c r="Q15" s="14">
        <f t="shared" si="4"/>
        <v>0</v>
      </c>
      <c r="R15" s="14">
        <f t="shared" si="4"/>
        <v>0</v>
      </c>
      <c r="S15" s="14">
        <f t="shared" si="4"/>
        <v>0</v>
      </c>
      <c r="T15" s="14">
        <f t="shared" si="4"/>
        <v>0</v>
      </c>
      <c r="U15" s="14">
        <f t="shared" si="4"/>
        <v>0</v>
      </c>
      <c r="V15" s="39"/>
    </row>
    <row r="16" spans="1:22" ht="10.5">
      <c r="A16" s="12"/>
      <c r="B16" s="13" t="s">
        <v>5</v>
      </c>
      <c r="C16" s="14"/>
      <c r="D16" s="6">
        <f t="shared" si="1"/>
        <v>0</v>
      </c>
      <c r="E16" s="14"/>
      <c r="F16" s="14"/>
      <c r="G16" s="14"/>
      <c r="H16" s="14"/>
      <c r="I16" s="14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39"/>
    </row>
    <row r="17" spans="1:22" ht="10.5">
      <c r="A17" s="12" t="s">
        <v>548</v>
      </c>
      <c r="B17" s="13" t="s">
        <v>564</v>
      </c>
      <c r="C17" s="14" t="s">
        <v>10</v>
      </c>
      <c r="D17" s="6">
        <f t="shared" si="1"/>
        <v>0</v>
      </c>
      <c r="E17" s="14">
        <f aca="true" t="shared" si="5" ref="E17:U17">+E19</f>
        <v>0</v>
      </c>
      <c r="F17" s="14">
        <f t="shared" si="5"/>
        <v>0</v>
      </c>
      <c r="G17" s="14">
        <f t="shared" si="5"/>
        <v>0</v>
      </c>
      <c r="H17" s="14">
        <f t="shared" si="5"/>
        <v>0</v>
      </c>
      <c r="I17" s="14">
        <f t="shared" si="5"/>
        <v>0</v>
      </c>
      <c r="J17" s="14">
        <f t="shared" si="5"/>
        <v>0</v>
      </c>
      <c r="K17" s="14">
        <f t="shared" si="5"/>
        <v>0</v>
      </c>
      <c r="L17" s="14">
        <f t="shared" si="5"/>
        <v>0</v>
      </c>
      <c r="M17" s="14">
        <f t="shared" si="5"/>
        <v>0</v>
      </c>
      <c r="N17" s="14">
        <f t="shared" si="5"/>
        <v>0</v>
      </c>
      <c r="O17" s="14">
        <f t="shared" si="5"/>
        <v>0</v>
      </c>
      <c r="P17" s="14">
        <f t="shared" si="5"/>
        <v>0</v>
      </c>
      <c r="Q17" s="14">
        <f t="shared" si="5"/>
        <v>0</v>
      </c>
      <c r="R17" s="14">
        <f t="shared" si="5"/>
        <v>0</v>
      </c>
      <c r="S17" s="14">
        <f t="shared" si="5"/>
        <v>0</v>
      </c>
      <c r="T17" s="14">
        <f t="shared" si="5"/>
        <v>0</v>
      </c>
      <c r="U17" s="14">
        <f t="shared" si="5"/>
        <v>0</v>
      </c>
      <c r="V17" s="39"/>
    </row>
    <row r="18" spans="1:22" ht="10.5">
      <c r="A18" s="12"/>
      <c r="B18" s="13" t="s">
        <v>5</v>
      </c>
      <c r="C18" s="14"/>
      <c r="D18" s="6">
        <f t="shared" si="1"/>
        <v>0</v>
      </c>
      <c r="E18" s="14"/>
      <c r="F18" s="14"/>
      <c r="G18" s="14"/>
      <c r="H18" s="14"/>
      <c r="I18" s="14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39"/>
    </row>
    <row r="19" spans="1:22" ht="10.5">
      <c r="A19" s="12" t="s">
        <v>565</v>
      </c>
      <c r="B19" s="13" t="s">
        <v>566</v>
      </c>
      <c r="C19" s="14" t="s">
        <v>567</v>
      </c>
      <c r="D19" s="6">
        <f t="shared" si="1"/>
        <v>0</v>
      </c>
      <c r="E19" s="14"/>
      <c r="F19" s="14"/>
      <c r="G19" s="14"/>
      <c r="H19" s="14"/>
      <c r="I19" s="14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39"/>
    </row>
    <row r="20" spans="1:22" ht="10.5">
      <c r="A20" s="12"/>
      <c r="B20" s="13" t="s">
        <v>199</v>
      </c>
      <c r="C20" s="14"/>
      <c r="D20" s="6">
        <f t="shared" si="1"/>
        <v>0</v>
      </c>
      <c r="E20" s="14"/>
      <c r="F20" s="14"/>
      <c r="G20" s="14"/>
      <c r="H20" s="14"/>
      <c r="I20" s="14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39"/>
    </row>
    <row r="21" spans="1:22" ht="10.5">
      <c r="A21" s="12" t="s">
        <v>568</v>
      </c>
      <c r="B21" s="34" t="s">
        <v>569</v>
      </c>
      <c r="C21" s="14" t="s">
        <v>10</v>
      </c>
      <c r="D21" s="6">
        <f t="shared" si="1"/>
        <v>0</v>
      </c>
      <c r="E21" s="14"/>
      <c r="F21" s="14"/>
      <c r="G21" s="14"/>
      <c r="H21" s="14"/>
      <c r="I21" s="14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39"/>
    </row>
    <row r="22" spans="1:22" s="4" customFormat="1" ht="21">
      <c r="A22" s="5" t="s">
        <v>570</v>
      </c>
      <c r="B22" s="28" t="s">
        <v>571</v>
      </c>
      <c r="C22" s="6" t="s">
        <v>10</v>
      </c>
      <c r="D22" s="6">
        <f t="shared" si="1"/>
        <v>1420651.2</v>
      </c>
      <c r="E22" s="6">
        <f>+E24+E27+E38</f>
        <v>438800.7</v>
      </c>
      <c r="F22" s="6">
        <f>+F24+F27+F38</f>
        <v>981850.5</v>
      </c>
      <c r="G22" s="6">
        <f aca="true" t="shared" si="6" ref="G22:U22">+G24+G27</f>
        <v>1420651.2</v>
      </c>
      <c r="H22" s="6">
        <f t="shared" si="6"/>
        <v>0</v>
      </c>
      <c r="I22" s="6">
        <f t="shared" si="6"/>
        <v>1420651.2</v>
      </c>
      <c r="J22" s="6">
        <f t="shared" si="6"/>
        <v>0</v>
      </c>
      <c r="K22" s="6">
        <f t="shared" si="6"/>
        <v>0</v>
      </c>
      <c r="L22" s="6">
        <f t="shared" si="6"/>
        <v>0</v>
      </c>
      <c r="M22" s="6">
        <f t="shared" si="6"/>
        <v>0</v>
      </c>
      <c r="N22" s="6">
        <f t="shared" si="6"/>
        <v>0</v>
      </c>
      <c r="O22" s="6">
        <f t="shared" si="6"/>
        <v>0</v>
      </c>
      <c r="P22" s="6">
        <f t="shared" si="6"/>
        <v>0</v>
      </c>
      <c r="Q22" s="6">
        <f t="shared" si="6"/>
        <v>0</v>
      </c>
      <c r="R22" s="6">
        <f t="shared" si="6"/>
        <v>0</v>
      </c>
      <c r="S22" s="6">
        <f t="shared" si="6"/>
        <v>0</v>
      </c>
      <c r="T22" s="6">
        <f t="shared" si="6"/>
        <v>0</v>
      </c>
      <c r="U22" s="6">
        <f t="shared" si="6"/>
        <v>0</v>
      </c>
      <c r="V22" s="38"/>
    </row>
    <row r="23" spans="1:22" ht="10.5">
      <c r="A23" s="12"/>
      <c r="B23" s="13" t="s">
        <v>5</v>
      </c>
      <c r="C23" s="14"/>
      <c r="D23" s="6">
        <f t="shared" si="1"/>
        <v>0</v>
      </c>
      <c r="E23" s="14"/>
      <c r="F23" s="14"/>
      <c r="G23" s="14"/>
      <c r="H23" s="14"/>
      <c r="I23" s="14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39"/>
    </row>
    <row r="24" spans="1:22" ht="31.5">
      <c r="A24" s="12" t="s">
        <v>572</v>
      </c>
      <c r="B24" s="13" t="s">
        <v>573</v>
      </c>
      <c r="C24" s="14" t="s">
        <v>10</v>
      </c>
      <c r="D24" s="6">
        <f t="shared" si="1"/>
        <v>0</v>
      </c>
      <c r="E24" s="14">
        <f aca="true" t="shared" si="7" ref="E24:U24">+E26</f>
        <v>0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0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7"/>
        <v>0</v>
      </c>
      <c r="O24" s="14">
        <f t="shared" si="7"/>
        <v>0</v>
      </c>
      <c r="P24" s="14">
        <f t="shared" si="7"/>
        <v>0</v>
      </c>
      <c r="Q24" s="14">
        <f t="shared" si="7"/>
        <v>0</v>
      </c>
      <c r="R24" s="14">
        <f t="shared" si="7"/>
        <v>0</v>
      </c>
      <c r="S24" s="14">
        <f t="shared" si="7"/>
        <v>0</v>
      </c>
      <c r="T24" s="14">
        <f t="shared" si="7"/>
        <v>0</v>
      </c>
      <c r="U24" s="14">
        <f t="shared" si="7"/>
        <v>0</v>
      </c>
      <c r="V24" s="39"/>
    </row>
    <row r="25" spans="1:22" ht="10.5">
      <c r="A25" s="12"/>
      <c r="B25" s="13" t="s">
        <v>5</v>
      </c>
      <c r="C25" s="14"/>
      <c r="D25" s="6">
        <f t="shared" si="1"/>
        <v>0</v>
      </c>
      <c r="E25" s="14"/>
      <c r="F25" s="14"/>
      <c r="G25" s="14"/>
      <c r="H25" s="14"/>
      <c r="I25" s="14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39"/>
    </row>
    <row r="26" spans="1:22" ht="31.5">
      <c r="A26" s="12" t="s">
        <v>574</v>
      </c>
      <c r="B26" s="34" t="s">
        <v>575</v>
      </c>
      <c r="C26" s="14" t="s">
        <v>576</v>
      </c>
      <c r="D26" s="6">
        <f t="shared" si="1"/>
        <v>0</v>
      </c>
      <c r="E26" s="14"/>
      <c r="F26" s="14"/>
      <c r="G26" s="14"/>
      <c r="H26" s="14"/>
      <c r="I26" s="14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39"/>
    </row>
    <row r="27" spans="1:22" s="4" customFormat="1" ht="31.5">
      <c r="A27" s="5" t="s">
        <v>577</v>
      </c>
      <c r="B27" s="28" t="s">
        <v>578</v>
      </c>
      <c r="C27" s="6" t="s">
        <v>10</v>
      </c>
      <c r="D27" s="6">
        <f t="shared" si="1"/>
        <v>0</v>
      </c>
      <c r="E27" s="6">
        <f aca="true" t="shared" si="8" ref="E27:U27">+E30+E34-E33</f>
        <v>0</v>
      </c>
      <c r="F27" s="6">
        <f t="shared" si="8"/>
        <v>0</v>
      </c>
      <c r="G27" s="6">
        <f>+H27+I27</f>
        <v>1420651.2</v>
      </c>
      <c r="H27" s="6"/>
      <c r="I27" s="6">
        <v>1420651.2</v>
      </c>
      <c r="J27" s="6">
        <f t="shared" si="8"/>
        <v>0</v>
      </c>
      <c r="K27" s="6">
        <f t="shared" si="8"/>
        <v>0</v>
      </c>
      <c r="L27" s="6">
        <f t="shared" si="8"/>
        <v>0</v>
      </c>
      <c r="M27" s="6">
        <f t="shared" si="8"/>
        <v>0</v>
      </c>
      <c r="N27" s="6">
        <f t="shared" si="8"/>
        <v>0</v>
      </c>
      <c r="O27" s="6">
        <f t="shared" si="8"/>
        <v>0</v>
      </c>
      <c r="P27" s="6">
        <f t="shared" si="8"/>
        <v>0</v>
      </c>
      <c r="Q27" s="6">
        <f t="shared" si="8"/>
        <v>0</v>
      </c>
      <c r="R27" s="6">
        <f t="shared" si="8"/>
        <v>0</v>
      </c>
      <c r="S27" s="6">
        <f t="shared" si="8"/>
        <v>0</v>
      </c>
      <c r="T27" s="6">
        <f t="shared" si="8"/>
        <v>0</v>
      </c>
      <c r="U27" s="6">
        <f t="shared" si="8"/>
        <v>0</v>
      </c>
      <c r="V27" s="38"/>
    </row>
    <row r="28" spans="1:22" ht="42">
      <c r="A28" s="10" t="s">
        <v>1</v>
      </c>
      <c r="B28" s="9" t="s">
        <v>371</v>
      </c>
      <c r="C28" s="7" t="s">
        <v>372</v>
      </c>
      <c r="D28" s="6">
        <f t="shared" si="1"/>
        <v>0</v>
      </c>
      <c r="E28" s="7"/>
      <c r="F28" s="7"/>
      <c r="G28" s="7"/>
      <c r="H28" s="7"/>
      <c r="I28" s="7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39"/>
    </row>
    <row r="29" spans="1:22" ht="10.5">
      <c r="A29" s="12"/>
      <c r="B29" s="13" t="s">
        <v>5</v>
      </c>
      <c r="C29" s="14"/>
      <c r="D29" s="6">
        <f t="shared" si="1"/>
        <v>0</v>
      </c>
      <c r="E29" s="14"/>
      <c r="F29" s="14"/>
      <c r="G29" s="14"/>
      <c r="H29" s="14"/>
      <c r="I29" s="14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39"/>
    </row>
    <row r="30" spans="1:22" ht="31.5">
      <c r="A30" s="12" t="s">
        <v>579</v>
      </c>
      <c r="B30" s="13" t="s">
        <v>580</v>
      </c>
      <c r="C30" s="14" t="s">
        <v>581</v>
      </c>
      <c r="D30" s="6">
        <f t="shared" si="1"/>
        <v>0</v>
      </c>
      <c r="E30" s="14"/>
      <c r="F30" s="14"/>
      <c r="G30" s="14">
        <v>438800.7</v>
      </c>
      <c r="H30" s="14">
        <v>438800.7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39"/>
    </row>
    <row r="31" spans="1:22" ht="10.5">
      <c r="A31" s="12"/>
      <c r="B31" s="13" t="s">
        <v>199</v>
      </c>
      <c r="C31" s="14"/>
      <c r="D31" s="6">
        <f t="shared" si="1"/>
        <v>0</v>
      </c>
      <c r="E31" s="14"/>
      <c r="F31" s="14"/>
      <c r="G31" s="14"/>
      <c r="H31" s="14"/>
      <c r="I31" s="14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39"/>
    </row>
    <row r="32" spans="1:22" ht="84">
      <c r="A32" s="12" t="s">
        <v>582</v>
      </c>
      <c r="B32" s="34" t="s">
        <v>583</v>
      </c>
      <c r="C32" s="14" t="s">
        <v>10</v>
      </c>
      <c r="D32" s="6">
        <f t="shared" si="1"/>
        <v>0</v>
      </c>
      <c r="E32" s="14"/>
      <c r="F32" s="14"/>
      <c r="G32" s="14"/>
      <c r="H32" s="14"/>
      <c r="I32" s="14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39"/>
    </row>
    <row r="33" spans="1:22" ht="31.5">
      <c r="A33" s="12" t="s">
        <v>584</v>
      </c>
      <c r="B33" s="34" t="s">
        <v>585</v>
      </c>
      <c r="C33" s="14" t="s">
        <v>10</v>
      </c>
      <c r="D33" s="6">
        <f t="shared" si="1"/>
        <v>0</v>
      </c>
      <c r="E33" s="14">
        <f aca="true" t="shared" si="9" ref="E33:U33">E30-E32</f>
        <v>0</v>
      </c>
      <c r="F33" s="14"/>
      <c r="G33" s="14">
        <f t="shared" si="9"/>
        <v>438800.7</v>
      </c>
      <c r="H33" s="14"/>
      <c r="I33" s="14">
        <v>438800.7</v>
      </c>
      <c r="J33" s="14">
        <f t="shared" si="9"/>
        <v>0</v>
      </c>
      <c r="K33" s="14">
        <f t="shared" si="9"/>
        <v>0</v>
      </c>
      <c r="L33" s="14">
        <f t="shared" si="9"/>
        <v>0</v>
      </c>
      <c r="M33" s="14">
        <f t="shared" si="9"/>
        <v>0</v>
      </c>
      <c r="N33" s="14">
        <f t="shared" si="9"/>
        <v>0</v>
      </c>
      <c r="O33" s="14">
        <f t="shared" si="9"/>
        <v>0</v>
      </c>
      <c r="P33" s="14">
        <f t="shared" si="9"/>
        <v>0</v>
      </c>
      <c r="Q33" s="14">
        <f t="shared" si="9"/>
        <v>0</v>
      </c>
      <c r="R33" s="14">
        <f t="shared" si="9"/>
        <v>0</v>
      </c>
      <c r="S33" s="14">
        <f t="shared" si="9"/>
        <v>0</v>
      </c>
      <c r="T33" s="14">
        <f t="shared" si="9"/>
        <v>0</v>
      </c>
      <c r="U33" s="14">
        <f t="shared" si="9"/>
        <v>0</v>
      </c>
      <c r="V33" s="39"/>
    </row>
    <row r="34" spans="1:22" ht="31.5">
      <c r="A34" s="12" t="s">
        <v>586</v>
      </c>
      <c r="B34" s="13" t="s">
        <v>587</v>
      </c>
      <c r="C34" s="14" t="s">
        <v>588</v>
      </c>
      <c r="D34" s="6">
        <f t="shared" si="1"/>
        <v>0</v>
      </c>
      <c r="E34" s="14">
        <f aca="true" t="shared" si="10" ref="E34:U34">+E36+E37</f>
        <v>0</v>
      </c>
      <c r="F34" s="14">
        <f t="shared" si="10"/>
        <v>0</v>
      </c>
      <c r="G34" s="14">
        <v>981850.5</v>
      </c>
      <c r="H34" s="14">
        <f t="shared" si="10"/>
        <v>0</v>
      </c>
      <c r="I34" s="14">
        <v>1420651.2</v>
      </c>
      <c r="J34" s="14">
        <f t="shared" si="10"/>
        <v>0</v>
      </c>
      <c r="K34" s="14">
        <f t="shared" si="10"/>
        <v>0</v>
      </c>
      <c r="L34" s="14">
        <f t="shared" si="10"/>
        <v>0</v>
      </c>
      <c r="M34" s="14">
        <f t="shared" si="10"/>
        <v>0</v>
      </c>
      <c r="N34" s="14">
        <f t="shared" si="10"/>
        <v>0</v>
      </c>
      <c r="O34" s="14">
        <f t="shared" si="10"/>
        <v>0</v>
      </c>
      <c r="P34" s="14">
        <f t="shared" si="10"/>
        <v>0</v>
      </c>
      <c r="Q34" s="14">
        <f t="shared" si="10"/>
        <v>0</v>
      </c>
      <c r="R34" s="14">
        <f t="shared" si="10"/>
        <v>0</v>
      </c>
      <c r="S34" s="14">
        <f t="shared" si="10"/>
        <v>0</v>
      </c>
      <c r="T34" s="14">
        <f t="shared" si="10"/>
        <v>0</v>
      </c>
      <c r="U34" s="14">
        <f t="shared" si="10"/>
        <v>0</v>
      </c>
      <c r="V34" s="39"/>
    </row>
    <row r="35" spans="1:22" ht="10.5">
      <c r="A35" s="12"/>
      <c r="B35" s="13" t="s">
        <v>199</v>
      </c>
      <c r="C35" s="14"/>
      <c r="D35" s="6">
        <f t="shared" si="1"/>
        <v>0</v>
      </c>
      <c r="E35" s="14"/>
      <c r="F35" s="14"/>
      <c r="G35" s="14"/>
      <c r="H35" s="14"/>
      <c r="I35" s="14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39"/>
    </row>
    <row r="36" spans="1:22" ht="63">
      <c r="A36" s="12" t="s">
        <v>589</v>
      </c>
      <c r="B36" s="34" t="s">
        <v>590</v>
      </c>
      <c r="C36" s="14" t="s">
        <v>10</v>
      </c>
      <c r="D36" s="6">
        <f t="shared" si="1"/>
        <v>0</v>
      </c>
      <c r="E36" s="14"/>
      <c r="F36" s="14"/>
      <c r="G36" s="14">
        <v>981850.5</v>
      </c>
      <c r="H36" s="14"/>
      <c r="I36" s="14"/>
      <c r="J36" s="16">
        <v>0</v>
      </c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39"/>
    </row>
    <row r="37" spans="1:22" ht="63">
      <c r="A37" s="61" t="s">
        <v>591</v>
      </c>
      <c r="B37" s="62" t="s">
        <v>592</v>
      </c>
      <c r="C37" s="63" t="s">
        <v>10</v>
      </c>
      <c r="D37" s="64">
        <f t="shared" si="1"/>
        <v>0</v>
      </c>
      <c r="E37" s="63"/>
      <c r="F37" s="63"/>
      <c r="G37" s="63">
        <v>438800.7</v>
      </c>
      <c r="H37" s="63"/>
      <c r="I37" s="63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6"/>
    </row>
    <row r="38" spans="1:22" ht="42">
      <c r="A38" s="14">
        <v>8203</v>
      </c>
      <c r="B38" s="34" t="s">
        <v>730</v>
      </c>
      <c r="C38" s="14"/>
      <c r="D38" s="64">
        <f t="shared" si="1"/>
        <v>1420651.2</v>
      </c>
      <c r="E38" s="14">
        <v>438800.7</v>
      </c>
      <c r="F38" s="14">
        <v>981850.5</v>
      </c>
      <c r="G38" s="14"/>
      <c r="H38" s="14"/>
      <c r="I38" s="1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67"/>
    </row>
  </sheetData>
  <sheetProtection/>
  <mergeCells count="24">
    <mergeCell ref="S2:U2"/>
    <mergeCell ref="V6:V7"/>
    <mergeCell ref="Q6:R6"/>
    <mergeCell ref="S6:S7"/>
    <mergeCell ref="T6:U6"/>
    <mergeCell ref="M5:O5"/>
    <mergeCell ref="M6:M7"/>
    <mergeCell ref="N6:O6"/>
    <mergeCell ref="D5:F5"/>
    <mergeCell ref="G5:I5"/>
    <mergeCell ref="D6:D7"/>
    <mergeCell ref="E6:F6"/>
    <mergeCell ref="G6:G7"/>
    <mergeCell ref="H6:I6"/>
    <mergeCell ref="B5:B7"/>
    <mergeCell ref="A5:A7"/>
    <mergeCell ref="A3:U3"/>
    <mergeCell ref="J5:L5"/>
    <mergeCell ref="P5:R5"/>
    <mergeCell ref="S5:U5"/>
    <mergeCell ref="J6:J7"/>
    <mergeCell ref="K6:L6"/>
    <mergeCell ref="P6:P7"/>
    <mergeCell ref="C5:C7"/>
  </mergeCells>
  <printOptions/>
  <pageMargins left="0" right="0" top="0" bottom="0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Z421"/>
  <sheetViews>
    <sheetView zoomScale="120" zoomScaleNormal="120" zoomScalePageLayoutView="0" workbookViewId="0" topLeftCell="N404">
      <selection activeCell="Y427" sqref="Y427"/>
    </sheetView>
  </sheetViews>
  <sheetFormatPr defaultColWidth="9.140625" defaultRowHeight="12"/>
  <cols>
    <col min="1" max="1" width="5.28125" style="90" customWidth="1"/>
    <col min="2" max="3" width="3.00390625" style="90" customWidth="1"/>
    <col min="4" max="4" width="3.00390625" style="91" customWidth="1"/>
    <col min="5" max="5" width="33.421875" style="92" customWidth="1"/>
    <col min="6" max="6" width="7.140625" style="91" customWidth="1"/>
    <col min="7" max="12" width="10.8515625" style="91" customWidth="1"/>
    <col min="13" max="24" width="10.8515625" style="93" customWidth="1"/>
    <col min="25" max="25" width="24.7109375" style="94" customWidth="1"/>
    <col min="26" max="16384" width="9.28125" style="94" customWidth="1"/>
  </cols>
  <sheetData>
    <row r="1" ht="17.25" customHeight="1"/>
    <row r="2" spans="1:25" s="138" customFormat="1" ht="66.75" customHeight="1">
      <c r="A2" s="136"/>
      <c r="B2" s="137"/>
      <c r="C2" s="136"/>
      <c r="D2" s="136"/>
      <c r="E2" s="136"/>
      <c r="F2" s="136"/>
      <c r="G2" s="136"/>
      <c r="H2" s="136"/>
      <c r="I2" s="136"/>
      <c r="J2" s="136"/>
      <c r="K2" s="84"/>
      <c r="L2" s="84"/>
      <c r="M2" s="85"/>
      <c r="N2" s="85"/>
      <c r="O2" s="85"/>
      <c r="P2" s="85"/>
      <c r="Q2" s="84"/>
      <c r="R2" s="84"/>
      <c r="S2" s="200"/>
      <c r="T2" s="200"/>
      <c r="U2" s="200"/>
      <c r="W2" s="200" t="s">
        <v>757</v>
      </c>
      <c r="X2" s="200"/>
      <c r="Y2" s="200"/>
    </row>
    <row r="3" spans="13:24" ht="10.5"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</row>
    <row r="4" spans="1:25" ht="63.75" customHeight="1">
      <c r="A4" s="229" t="s">
        <v>758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</row>
    <row r="5" spans="1:25" ht="21" customHeight="1" thickBot="1">
      <c r="A5" s="19"/>
      <c r="B5" s="19"/>
      <c r="C5" s="19"/>
      <c r="D5" s="30"/>
      <c r="E5" s="95"/>
      <c r="F5" s="30"/>
      <c r="G5" s="30"/>
      <c r="H5" s="30"/>
      <c r="I5" s="30"/>
      <c r="J5" s="30"/>
      <c r="K5" s="30"/>
      <c r="L5" s="30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Y5" s="22" t="s">
        <v>0</v>
      </c>
    </row>
    <row r="6" spans="1:25" ht="22.5" customHeight="1">
      <c r="A6" s="230" t="s">
        <v>1</v>
      </c>
      <c r="B6" s="232" t="s">
        <v>187</v>
      </c>
      <c r="C6" s="232" t="s">
        <v>188</v>
      </c>
      <c r="D6" s="232" t="s">
        <v>189</v>
      </c>
      <c r="E6" s="223" t="s">
        <v>593</v>
      </c>
      <c r="F6" s="203" t="s">
        <v>3</v>
      </c>
      <c r="G6" s="203" t="s">
        <v>600</v>
      </c>
      <c r="H6" s="203"/>
      <c r="I6" s="203"/>
      <c r="J6" s="203" t="s">
        <v>601</v>
      </c>
      <c r="K6" s="203"/>
      <c r="L6" s="203"/>
      <c r="M6" s="203" t="s">
        <v>183</v>
      </c>
      <c r="N6" s="203"/>
      <c r="O6" s="203"/>
      <c r="P6" s="223" t="s">
        <v>602</v>
      </c>
      <c r="Q6" s="223"/>
      <c r="R6" s="223"/>
      <c r="S6" s="203" t="s">
        <v>184</v>
      </c>
      <c r="T6" s="203"/>
      <c r="U6" s="203"/>
      <c r="V6" s="203" t="s">
        <v>185</v>
      </c>
      <c r="W6" s="203"/>
      <c r="X6" s="203"/>
      <c r="Y6" s="83" t="s">
        <v>603</v>
      </c>
    </row>
    <row r="7" spans="1:25" ht="18.75" customHeight="1">
      <c r="A7" s="231"/>
      <c r="B7" s="219"/>
      <c r="C7" s="219"/>
      <c r="D7" s="219"/>
      <c r="E7" s="217"/>
      <c r="F7" s="216"/>
      <c r="G7" s="204" t="s">
        <v>4</v>
      </c>
      <c r="H7" s="204" t="s">
        <v>5</v>
      </c>
      <c r="I7" s="204"/>
      <c r="J7" s="204" t="s">
        <v>4</v>
      </c>
      <c r="K7" s="204" t="s">
        <v>5</v>
      </c>
      <c r="L7" s="204"/>
      <c r="M7" s="204" t="s">
        <v>4</v>
      </c>
      <c r="N7" s="204" t="s">
        <v>5</v>
      </c>
      <c r="O7" s="204"/>
      <c r="P7" s="204" t="s">
        <v>4</v>
      </c>
      <c r="Q7" s="204" t="s">
        <v>5</v>
      </c>
      <c r="R7" s="204"/>
      <c r="S7" s="204" t="s">
        <v>4</v>
      </c>
      <c r="T7" s="204" t="s">
        <v>5</v>
      </c>
      <c r="U7" s="204"/>
      <c r="V7" s="204" t="s">
        <v>4</v>
      </c>
      <c r="W7" s="204" t="s">
        <v>5</v>
      </c>
      <c r="X7" s="204"/>
      <c r="Y7" s="228" t="s">
        <v>604</v>
      </c>
    </row>
    <row r="8" spans="1:25" ht="33.75" customHeight="1">
      <c r="A8" s="231"/>
      <c r="B8" s="219"/>
      <c r="C8" s="219"/>
      <c r="D8" s="219"/>
      <c r="E8" s="217"/>
      <c r="F8" s="216"/>
      <c r="G8" s="204"/>
      <c r="H8" s="9" t="s">
        <v>6</v>
      </c>
      <c r="I8" s="9" t="s">
        <v>7</v>
      </c>
      <c r="J8" s="204"/>
      <c r="K8" s="9" t="s">
        <v>6</v>
      </c>
      <c r="L8" s="9" t="s">
        <v>7</v>
      </c>
      <c r="M8" s="204"/>
      <c r="N8" s="9" t="s">
        <v>6</v>
      </c>
      <c r="O8" s="9" t="s">
        <v>7</v>
      </c>
      <c r="P8" s="204"/>
      <c r="Q8" s="9" t="s">
        <v>6</v>
      </c>
      <c r="R8" s="9" t="s">
        <v>7</v>
      </c>
      <c r="S8" s="204"/>
      <c r="T8" s="9" t="s">
        <v>6</v>
      </c>
      <c r="U8" s="9" t="s">
        <v>7</v>
      </c>
      <c r="V8" s="204"/>
      <c r="W8" s="9" t="s">
        <v>6</v>
      </c>
      <c r="X8" s="9" t="s">
        <v>7</v>
      </c>
      <c r="Y8" s="228"/>
    </row>
    <row r="9" spans="1:25" ht="12.75" customHeight="1">
      <c r="A9" s="25">
        <v>1</v>
      </c>
      <c r="B9" s="26">
        <v>2</v>
      </c>
      <c r="C9" s="26">
        <v>3</v>
      </c>
      <c r="D9" s="26">
        <v>4</v>
      </c>
      <c r="E9" s="26">
        <v>5</v>
      </c>
      <c r="F9" s="26">
        <v>6</v>
      </c>
      <c r="G9" s="26">
        <v>7</v>
      </c>
      <c r="H9" s="26">
        <v>8</v>
      </c>
      <c r="I9" s="26">
        <v>9</v>
      </c>
      <c r="J9" s="26">
        <v>10</v>
      </c>
      <c r="K9" s="26">
        <v>11</v>
      </c>
      <c r="L9" s="26">
        <v>12</v>
      </c>
      <c r="M9" s="26">
        <v>13</v>
      </c>
      <c r="N9" s="26">
        <v>14</v>
      </c>
      <c r="O9" s="26">
        <v>15</v>
      </c>
      <c r="P9" s="26">
        <v>16</v>
      </c>
      <c r="Q9" s="26">
        <v>17</v>
      </c>
      <c r="R9" s="26">
        <v>18</v>
      </c>
      <c r="S9" s="26">
        <v>19</v>
      </c>
      <c r="T9" s="26">
        <v>20</v>
      </c>
      <c r="U9" s="26">
        <v>21</v>
      </c>
      <c r="V9" s="26">
        <v>22</v>
      </c>
      <c r="W9" s="26">
        <v>23</v>
      </c>
      <c r="X9" s="26">
        <v>24</v>
      </c>
      <c r="Y9" s="8">
        <v>22</v>
      </c>
    </row>
    <row r="10" spans="1:26" s="101" customFormat="1" ht="21" customHeight="1">
      <c r="A10" s="10" t="s">
        <v>10</v>
      </c>
      <c r="B10" s="7" t="s">
        <v>10</v>
      </c>
      <c r="C10" s="7" t="s">
        <v>10</v>
      </c>
      <c r="D10" s="7" t="s">
        <v>10</v>
      </c>
      <c r="E10" s="96" t="s">
        <v>191</v>
      </c>
      <c r="F10" s="97"/>
      <c r="G10" s="98">
        <f>+H10+I10-59064.2</f>
        <v>3788579.1000000006</v>
      </c>
      <c r="H10" s="98">
        <f>+H11+H93+H110+H155+H198+H238+H251+H319+H396+H408+H107</f>
        <v>2754834.500000001</v>
      </c>
      <c r="I10" s="98">
        <f>+I11+I93+I110+I155+I198+I238+I251+I319+I396+I408+I107</f>
        <v>1092808.8</v>
      </c>
      <c r="J10" s="98">
        <f>+K10+L10</f>
        <v>4570651.2</v>
      </c>
      <c r="K10" s="98">
        <f>+K11+K93+K110+K155+K198+K238+K251+K319+K396+K408</f>
        <v>3150000</v>
      </c>
      <c r="L10" s="98">
        <f>+L11+L93+L110+L155+L198+L238+L251+L319+L396+L408</f>
        <v>1420651.2</v>
      </c>
      <c r="M10" s="98">
        <f>+N10+O10</f>
        <v>3810000</v>
      </c>
      <c r="N10" s="98">
        <f>+N11+N93+N110+N155+N198+N238+N251+N319+N396+N408+N107</f>
        <v>3310000</v>
      </c>
      <c r="O10" s="98">
        <f>+O11+O93+O110+O155+O198+O238+O251+O319+O396+O408+O107</f>
        <v>500000</v>
      </c>
      <c r="P10" s="98">
        <f>+M10-J10</f>
        <v>-760651.2000000002</v>
      </c>
      <c r="Q10" s="98">
        <f>+N10-K10</f>
        <v>160000</v>
      </c>
      <c r="R10" s="98">
        <f>+O10-L10</f>
        <v>-920651.2</v>
      </c>
      <c r="S10" s="98">
        <f>+3!Q10</f>
        <v>3811492</v>
      </c>
      <c r="T10" s="98">
        <f>+3!R10</f>
        <v>3311492</v>
      </c>
      <c r="U10" s="98">
        <f>+3!S10</f>
        <v>500000</v>
      </c>
      <c r="V10" s="98">
        <f>+3!T10</f>
        <v>3824620</v>
      </c>
      <c r="W10" s="98">
        <f>+3!U10</f>
        <v>3324620</v>
      </c>
      <c r="X10" s="98">
        <f>+3!V10</f>
        <v>500000</v>
      </c>
      <c r="Y10" s="99"/>
      <c r="Z10" s="100"/>
    </row>
    <row r="11" spans="1:26" s="101" customFormat="1" ht="30.75" customHeight="1">
      <c r="A11" s="10" t="s">
        <v>192</v>
      </c>
      <c r="B11" s="7" t="s">
        <v>193</v>
      </c>
      <c r="C11" s="7" t="s">
        <v>194</v>
      </c>
      <c r="D11" s="7" t="s">
        <v>194</v>
      </c>
      <c r="E11" s="96" t="s">
        <v>195</v>
      </c>
      <c r="F11" s="97"/>
      <c r="G11" s="98">
        <f aca="true" t="shared" si="0" ref="G11:G17">+H11+I11</f>
        <v>838756.8</v>
      </c>
      <c r="H11" s="98">
        <f>+H13+H56+H71</f>
        <v>781132.4</v>
      </c>
      <c r="I11" s="98">
        <f>+I13+I56+I71</f>
        <v>57624.4</v>
      </c>
      <c r="J11" s="98">
        <f aca="true" t="shared" si="1" ref="J11:J90">+K11+L11</f>
        <v>1110512.6</v>
      </c>
      <c r="K11" s="98">
        <f>+K13+K56+K71</f>
        <v>956656.3</v>
      </c>
      <c r="L11" s="98">
        <f>+L13+L56+L71</f>
        <v>153856.3</v>
      </c>
      <c r="M11" s="98">
        <f aca="true" t="shared" si="2" ref="M11:M91">+N11+O11</f>
        <v>1286374</v>
      </c>
      <c r="N11" s="98">
        <f>+N13+N56+N71</f>
        <v>941500</v>
      </c>
      <c r="O11" s="98">
        <f>+O13+O56+O71</f>
        <v>344874</v>
      </c>
      <c r="P11" s="98">
        <f aca="true" t="shared" si="3" ref="P11:P74">+M11-J11</f>
        <v>175861.3999999999</v>
      </c>
      <c r="Q11" s="98">
        <f aca="true" t="shared" si="4" ref="Q11:Q74">+N11-K11</f>
        <v>-15156.300000000047</v>
      </c>
      <c r="R11" s="98">
        <f aca="true" t="shared" si="5" ref="R11:R74">+O11-L11</f>
        <v>191017.7</v>
      </c>
      <c r="S11" s="98">
        <f aca="true" t="shared" si="6" ref="S11:S74">+M11</f>
        <v>1286374</v>
      </c>
      <c r="T11" s="98">
        <f aca="true" t="shared" si="7" ref="T11:T74">+N11</f>
        <v>941500</v>
      </c>
      <c r="U11" s="98">
        <f aca="true" t="shared" si="8" ref="U11:U74">+O11</f>
        <v>344874</v>
      </c>
      <c r="V11" s="98">
        <f aca="true" t="shared" si="9" ref="V11:V74">+M11</f>
        <v>1286374</v>
      </c>
      <c r="W11" s="98">
        <f aca="true" t="shared" si="10" ref="W11:W74">+N11</f>
        <v>941500</v>
      </c>
      <c r="X11" s="98">
        <f aca="true" t="shared" si="11" ref="X11:X74">+O11</f>
        <v>344874</v>
      </c>
      <c r="Y11" s="99"/>
      <c r="Z11" s="100"/>
    </row>
    <row r="12" spans="1:26" ht="12.75" customHeight="1">
      <c r="A12" s="12"/>
      <c r="B12" s="14"/>
      <c r="C12" s="14"/>
      <c r="D12" s="102"/>
      <c r="E12" s="103" t="s">
        <v>5</v>
      </c>
      <c r="F12" s="102"/>
      <c r="G12" s="98"/>
      <c r="H12" s="45"/>
      <c r="I12" s="45"/>
      <c r="J12" s="98"/>
      <c r="K12" s="54"/>
      <c r="L12" s="54"/>
      <c r="M12" s="98">
        <f t="shared" si="2"/>
        <v>0</v>
      </c>
      <c r="N12" s="45"/>
      <c r="O12" s="45"/>
      <c r="P12" s="98">
        <f t="shared" si="3"/>
        <v>0</v>
      </c>
      <c r="Q12" s="98">
        <f t="shared" si="4"/>
        <v>0</v>
      </c>
      <c r="R12" s="98">
        <f t="shared" si="5"/>
        <v>0</v>
      </c>
      <c r="S12" s="98">
        <f t="shared" si="6"/>
        <v>0</v>
      </c>
      <c r="T12" s="98">
        <f t="shared" si="7"/>
        <v>0</v>
      </c>
      <c r="U12" s="98">
        <f t="shared" si="8"/>
        <v>0</v>
      </c>
      <c r="V12" s="98">
        <f t="shared" si="9"/>
        <v>0</v>
      </c>
      <c r="W12" s="98">
        <f t="shared" si="10"/>
        <v>0</v>
      </c>
      <c r="X12" s="98">
        <f t="shared" si="11"/>
        <v>0</v>
      </c>
      <c r="Y12" s="104"/>
      <c r="Z12" s="105"/>
    </row>
    <row r="13" spans="1:26" s="101" customFormat="1" ht="50.25" customHeight="1">
      <c r="A13" s="10" t="s">
        <v>196</v>
      </c>
      <c r="B13" s="7" t="s">
        <v>193</v>
      </c>
      <c r="C13" s="7" t="s">
        <v>197</v>
      </c>
      <c r="D13" s="7" t="s">
        <v>194</v>
      </c>
      <c r="E13" s="106" t="s">
        <v>198</v>
      </c>
      <c r="F13" s="107"/>
      <c r="G13" s="98">
        <f t="shared" si="0"/>
        <v>777310.2</v>
      </c>
      <c r="H13" s="108">
        <f>+H15</f>
        <v>742946.1</v>
      </c>
      <c r="I13" s="108">
        <f>+I15+I54</f>
        <v>34364.1</v>
      </c>
      <c r="J13" s="98">
        <f t="shared" si="1"/>
        <v>944473.3</v>
      </c>
      <c r="K13" s="108">
        <f>+K15</f>
        <v>861618.3</v>
      </c>
      <c r="L13" s="108">
        <f>+L15+L54</f>
        <v>82855</v>
      </c>
      <c r="M13" s="98">
        <f t="shared" si="2"/>
        <v>1025254</v>
      </c>
      <c r="N13" s="108">
        <f>+N15</f>
        <v>878500</v>
      </c>
      <c r="O13" s="108">
        <f>+O15+O54</f>
        <v>146754</v>
      </c>
      <c r="P13" s="98">
        <f t="shared" si="3"/>
        <v>80780.69999999995</v>
      </c>
      <c r="Q13" s="98">
        <f t="shared" si="4"/>
        <v>16881.699999999953</v>
      </c>
      <c r="R13" s="98">
        <f t="shared" si="5"/>
        <v>63899</v>
      </c>
      <c r="S13" s="98">
        <f t="shared" si="6"/>
        <v>1025254</v>
      </c>
      <c r="T13" s="98">
        <f t="shared" si="7"/>
        <v>878500</v>
      </c>
      <c r="U13" s="98">
        <f t="shared" si="8"/>
        <v>146754</v>
      </c>
      <c r="V13" s="98">
        <f t="shared" si="9"/>
        <v>1025254</v>
      </c>
      <c r="W13" s="98">
        <f t="shared" si="10"/>
        <v>878500</v>
      </c>
      <c r="X13" s="98">
        <f t="shared" si="11"/>
        <v>146754</v>
      </c>
      <c r="Y13" s="99"/>
      <c r="Z13" s="100"/>
    </row>
    <row r="14" spans="1:26" ht="12.75" customHeight="1">
      <c r="A14" s="12"/>
      <c r="B14" s="14"/>
      <c r="C14" s="14"/>
      <c r="D14" s="102"/>
      <c r="E14" s="103" t="s">
        <v>199</v>
      </c>
      <c r="F14" s="102"/>
      <c r="G14" s="98">
        <f t="shared" si="0"/>
        <v>0</v>
      </c>
      <c r="H14" s="45"/>
      <c r="I14" s="45"/>
      <c r="J14" s="98">
        <f t="shared" si="1"/>
        <v>0</v>
      </c>
      <c r="K14" s="54"/>
      <c r="L14" s="54"/>
      <c r="M14" s="98">
        <f t="shared" si="2"/>
        <v>0</v>
      </c>
      <c r="N14" s="45"/>
      <c r="O14" s="45"/>
      <c r="P14" s="98">
        <f t="shared" si="3"/>
        <v>0</v>
      </c>
      <c r="Q14" s="98">
        <f t="shared" si="4"/>
        <v>0</v>
      </c>
      <c r="R14" s="98">
        <f t="shared" si="5"/>
        <v>0</v>
      </c>
      <c r="S14" s="98">
        <f t="shared" si="6"/>
        <v>0</v>
      </c>
      <c r="T14" s="98">
        <f t="shared" si="7"/>
        <v>0</v>
      </c>
      <c r="U14" s="98">
        <f t="shared" si="8"/>
        <v>0</v>
      </c>
      <c r="V14" s="98">
        <f t="shared" si="9"/>
        <v>0</v>
      </c>
      <c r="W14" s="98">
        <f t="shared" si="10"/>
        <v>0</v>
      </c>
      <c r="X14" s="98">
        <f t="shared" si="11"/>
        <v>0</v>
      </c>
      <c r="Y14" s="104"/>
      <c r="Z14" s="105"/>
    </row>
    <row r="15" spans="1:26" s="101" customFormat="1" ht="30" customHeight="1">
      <c r="A15" s="10" t="s">
        <v>200</v>
      </c>
      <c r="B15" s="7" t="s">
        <v>193</v>
      </c>
      <c r="C15" s="7" t="s">
        <v>197</v>
      </c>
      <c r="D15" s="7" t="s">
        <v>197</v>
      </c>
      <c r="E15" s="109" t="s">
        <v>201</v>
      </c>
      <c r="F15" s="82"/>
      <c r="G15" s="98">
        <f t="shared" si="0"/>
        <v>777310.2</v>
      </c>
      <c r="H15" s="51">
        <f>+H17+H54</f>
        <v>742946.1</v>
      </c>
      <c r="I15" s="51">
        <f>+I17+I54</f>
        <v>34364.1</v>
      </c>
      <c r="J15" s="98">
        <f t="shared" si="1"/>
        <v>944473.3</v>
      </c>
      <c r="K15" s="51">
        <f>+K17+K54</f>
        <v>861618.3</v>
      </c>
      <c r="L15" s="51">
        <f>+L17+L54</f>
        <v>82855</v>
      </c>
      <c r="M15" s="98">
        <f t="shared" si="2"/>
        <v>1025254</v>
      </c>
      <c r="N15" s="51">
        <f>+N17+N54</f>
        <v>878500</v>
      </c>
      <c r="O15" s="51">
        <f>+O17+O54</f>
        <v>146754</v>
      </c>
      <c r="P15" s="98">
        <f t="shared" si="3"/>
        <v>80780.69999999995</v>
      </c>
      <c r="Q15" s="98">
        <f t="shared" si="4"/>
        <v>16881.699999999953</v>
      </c>
      <c r="R15" s="98">
        <f t="shared" si="5"/>
        <v>63899</v>
      </c>
      <c r="S15" s="98">
        <f t="shared" si="6"/>
        <v>1025254</v>
      </c>
      <c r="T15" s="98">
        <f t="shared" si="7"/>
        <v>878500</v>
      </c>
      <c r="U15" s="98">
        <f t="shared" si="8"/>
        <v>146754</v>
      </c>
      <c r="V15" s="98">
        <f t="shared" si="9"/>
        <v>1025254</v>
      </c>
      <c r="W15" s="98">
        <f t="shared" si="10"/>
        <v>878500</v>
      </c>
      <c r="X15" s="98">
        <f t="shared" si="11"/>
        <v>146754</v>
      </c>
      <c r="Y15" s="99"/>
      <c r="Z15" s="100"/>
    </row>
    <row r="16" spans="1:26" ht="12.75" customHeight="1">
      <c r="A16" s="12"/>
      <c r="B16" s="14"/>
      <c r="C16" s="14"/>
      <c r="D16" s="102"/>
      <c r="E16" s="103" t="s">
        <v>5</v>
      </c>
      <c r="F16" s="102"/>
      <c r="G16" s="98">
        <f t="shared" si="0"/>
        <v>0</v>
      </c>
      <c r="H16" s="45"/>
      <c r="I16" s="45"/>
      <c r="J16" s="98">
        <f t="shared" si="1"/>
        <v>0</v>
      </c>
      <c r="K16" s="54"/>
      <c r="L16" s="54"/>
      <c r="M16" s="98">
        <f t="shared" si="2"/>
        <v>0</v>
      </c>
      <c r="N16" s="45"/>
      <c r="O16" s="45"/>
      <c r="P16" s="98">
        <f t="shared" si="3"/>
        <v>0</v>
      </c>
      <c r="Q16" s="98">
        <f t="shared" si="4"/>
        <v>0</v>
      </c>
      <c r="R16" s="98">
        <f t="shared" si="5"/>
        <v>0</v>
      </c>
      <c r="S16" s="98">
        <f t="shared" si="6"/>
        <v>0</v>
      </c>
      <c r="T16" s="98">
        <f t="shared" si="7"/>
        <v>0</v>
      </c>
      <c r="U16" s="98">
        <f t="shared" si="8"/>
        <v>0</v>
      </c>
      <c r="V16" s="98">
        <f t="shared" si="9"/>
        <v>0</v>
      </c>
      <c r="W16" s="98">
        <f t="shared" si="10"/>
        <v>0</v>
      </c>
      <c r="X16" s="98">
        <f t="shared" si="11"/>
        <v>0</v>
      </c>
      <c r="Y16" s="104"/>
      <c r="Z16" s="105"/>
    </row>
    <row r="17" spans="1:26" s="101" customFormat="1" ht="16.5" customHeight="1">
      <c r="A17" s="5"/>
      <c r="B17" s="6"/>
      <c r="C17" s="6"/>
      <c r="D17" s="82"/>
      <c r="E17" s="106" t="s">
        <v>636</v>
      </c>
      <c r="F17" s="110"/>
      <c r="G17" s="98">
        <f t="shared" si="0"/>
        <v>777310.2</v>
      </c>
      <c r="H17" s="111">
        <f>+H18+H20+H21+H22+H23+H24+H25+H26+H27+H29+H30+H33+H34+H35+H37+H38+H40+H42+H44+H45+H46+H48+H50+H53+H19+H43+H52+H32+H31+H36+H39+H41+H49+H28</f>
        <v>742946.1</v>
      </c>
      <c r="I17" s="111">
        <f>+I18+I20+I21+I22+I23+I24+I25+I26+I27+I29+I30+I33+I34+I35+I37+I38+I40+I42+I44+I45+I46+I48+I50+I53+I19+I43+I52+I32+I31+I36+I39+I41+I49+I51+I47</f>
        <v>34364.1</v>
      </c>
      <c r="J17" s="98">
        <f t="shared" si="1"/>
        <v>942473.3</v>
      </c>
      <c r="K17" s="111">
        <f>SUM(K18:K53)</f>
        <v>859618.3</v>
      </c>
      <c r="L17" s="111">
        <f aca="true" t="shared" si="12" ref="L17:X17">+L18+L20+L21+L22+L23+L24+L25+L26+L27+L29+L30+L33+L34+L35+L37+L38+L40+L42+L44+L45+L46+L48+L50+L53</f>
        <v>82855</v>
      </c>
      <c r="M17" s="111">
        <f t="shared" si="12"/>
        <v>932754</v>
      </c>
      <c r="N17" s="111">
        <f>+N18+N20+N21+N22+N23+N24+N25+N26+N27+N29+N30+N33+N34+N35+N37+N38+N40+N42+N44+N45+N46+N48+N50+N53+N19+N43+N52+N32+N31+N36+N39+N41+N49+N28</f>
        <v>856000</v>
      </c>
      <c r="O17" s="111">
        <f>+O18+O20+O21+O22+O23+O24+O25+O26+O27+O29+O30+O33+O34+O35+O37+O38+O40+O42+O44+O45+O46+O48+O50+O53+O19+O43+O52+O32+O31+O36+O39+O41+O49+O51+O47</f>
        <v>146754</v>
      </c>
      <c r="P17" s="98">
        <f t="shared" si="3"/>
        <v>-9719.300000000047</v>
      </c>
      <c r="Q17" s="98">
        <f t="shared" si="4"/>
        <v>-3618.3000000000466</v>
      </c>
      <c r="R17" s="98">
        <f t="shared" si="5"/>
        <v>63899</v>
      </c>
      <c r="S17" s="98">
        <f t="shared" si="6"/>
        <v>932754</v>
      </c>
      <c r="T17" s="98">
        <f t="shared" si="7"/>
        <v>856000</v>
      </c>
      <c r="U17" s="98">
        <f t="shared" si="8"/>
        <v>146754</v>
      </c>
      <c r="V17" s="98">
        <f t="shared" si="9"/>
        <v>932754</v>
      </c>
      <c r="W17" s="98">
        <f t="shared" si="10"/>
        <v>856000</v>
      </c>
      <c r="X17" s="98">
        <f t="shared" si="11"/>
        <v>146754</v>
      </c>
      <c r="Y17" s="99"/>
      <c r="Z17" s="100"/>
    </row>
    <row r="18" spans="1:26" ht="21" customHeight="1">
      <c r="A18" s="12"/>
      <c r="B18" s="14"/>
      <c r="C18" s="14"/>
      <c r="D18" s="102"/>
      <c r="E18" s="103" t="s">
        <v>382</v>
      </c>
      <c r="F18" s="26" t="s">
        <v>381</v>
      </c>
      <c r="G18" s="98">
        <f>+H18+I18</f>
        <v>576805.9</v>
      </c>
      <c r="H18" s="45">
        <f>280000+57141.3+32519+42248+30007.6+14296.1+24622.4+32693.5+21962.4+17166.3+24149.3</f>
        <v>576805.9</v>
      </c>
      <c r="I18" s="45"/>
      <c r="J18" s="98">
        <f t="shared" si="1"/>
        <v>688978.5</v>
      </c>
      <c r="K18" s="54">
        <f>624250.4+13670.1+8059+11579+5842+4677+1863+3863+7189+3982+4004</f>
        <v>688978.5</v>
      </c>
      <c r="L18" s="54"/>
      <c r="M18" s="98">
        <f t="shared" si="2"/>
        <v>700000</v>
      </c>
      <c r="N18" s="45">
        <v>700000</v>
      </c>
      <c r="O18" s="45"/>
      <c r="P18" s="98">
        <f t="shared" si="3"/>
        <v>11021.5</v>
      </c>
      <c r="Q18" s="98">
        <f t="shared" si="4"/>
        <v>11021.5</v>
      </c>
      <c r="R18" s="98">
        <f t="shared" si="5"/>
        <v>0</v>
      </c>
      <c r="S18" s="98">
        <f t="shared" si="6"/>
        <v>700000</v>
      </c>
      <c r="T18" s="98">
        <f t="shared" si="7"/>
        <v>700000</v>
      </c>
      <c r="U18" s="98">
        <f t="shared" si="8"/>
        <v>0</v>
      </c>
      <c r="V18" s="98">
        <f t="shared" si="9"/>
        <v>700000</v>
      </c>
      <c r="W18" s="98">
        <f t="shared" si="10"/>
        <v>700000</v>
      </c>
      <c r="X18" s="98">
        <f t="shared" si="11"/>
        <v>0</v>
      </c>
      <c r="Y18" s="104"/>
      <c r="Z18" s="105"/>
    </row>
    <row r="19" spans="1:26" ht="21" customHeight="1">
      <c r="A19" s="12"/>
      <c r="B19" s="14"/>
      <c r="C19" s="14"/>
      <c r="D19" s="102"/>
      <c r="E19" s="13" t="s">
        <v>384</v>
      </c>
      <c r="F19" s="26">
        <v>4112</v>
      </c>
      <c r="G19" s="98">
        <f>+H19+I19</f>
        <v>74614.80000000002</v>
      </c>
      <c r="H19" s="45">
        <f>13134+9964.5+20060.6+3643+2176.3+7446.8+8396+4275+5518.6</f>
        <v>74614.80000000002</v>
      </c>
      <c r="I19" s="45"/>
      <c r="J19" s="98"/>
      <c r="K19" s="54"/>
      <c r="L19" s="54"/>
      <c r="M19" s="98"/>
      <c r="N19" s="45"/>
      <c r="O19" s="45"/>
      <c r="P19" s="98">
        <f t="shared" si="3"/>
        <v>0</v>
      </c>
      <c r="Q19" s="98">
        <f t="shared" si="4"/>
        <v>0</v>
      </c>
      <c r="R19" s="98">
        <f t="shared" si="5"/>
        <v>0</v>
      </c>
      <c r="S19" s="98">
        <f t="shared" si="6"/>
        <v>0</v>
      </c>
      <c r="T19" s="98">
        <f t="shared" si="7"/>
        <v>0</v>
      </c>
      <c r="U19" s="98">
        <f t="shared" si="8"/>
        <v>0</v>
      </c>
      <c r="V19" s="98">
        <f t="shared" si="9"/>
        <v>0</v>
      </c>
      <c r="W19" s="98">
        <f t="shared" si="10"/>
        <v>0</v>
      </c>
      <c r="X19" s="98">
        <f t="shared" si="11"/>
        <v>0</v>
      </c>
      <c r="Y19" s="104"/>
      <c r="Z19" s="105"/>
    </row>
    <row r="20" spans="1:26" ht="21" customHeight="1">
      <c r="A20" s="12"/>
      <c r="B20" s="14"/>
      <c r="C20" s="14"/>
      <c r="D20" s="102"/>
      <c r="E20" s="103" t="s">
        <v>633</v>
      </c>
      <c r="F20" s="26">
        <v>4211</v>
      </c>
      <c r="G20" s="98">
        <f>+H20+I20</f>
        <v>77.5</v>
      </c>
      <c r="H20" s="45">
        <v>77.5</v>
      </c>
      <c r="I20" s="45"/>
      <c r="J20" s="98">
        <f t="shared" si="1"/>
        <v>22</v>
      </c>
      <c r="K20" s="54">
        <v>22</v>
      </c>
      <c r="L20" s="54"/>
      <c r="M20" s="98"/>
      <c r="N20" s="45"/>
      <c r="O20" s="45"/>
      <c r="P20" s="98">
        <f t="shared" si="3"/>
        <v>-22</v>
      </c>
      <c r="Q20" s="98">
        <f t="shared" si="4"/>
        <v>-22</v>
      </c>
      <c r="R20" s="98">
        <f t="shared" si="5"/>
        <v>0</v>
      </c>
      <c r="S20" s="98">
        <f t="shared" si="6"/>
        <v>0</v>
      </c>
      <c r="T20" s="98">
        <f t="shared" si="7"/>
        <v>0</v>
      </c>
      <c r="U20" s="98">
        <f t="shared" si="8"/>
        <v>0</v>
      </c>
      <c r="V20" s="98">
        <f t="shared" si="9"/>
        <v>0</v>
      </c>
      <c r="W20" s="98">
        <f t="shared" si="10"/>
        <v>0</v>
      </c>
      <c r="X20" s="98">
        <f t="shared" si="11"/>
        <v>0</v>
      </c>
      <c r="Y20" s="104"/>
      <c r="Z20" s="105"/>
    </row>
    <row r="21" spans="1:26" ht="21" customHeight="1">
      <c r="A21" s="12"/>
      <c r="B21" s="14"/>
      <c r="C21" s="14"/>
      <c r="D21" s="102"/>
      <c r="E21" s="103" t="s">
        <v>390</v>
      </c>
      <c r="F21" s="26" t="s">
        <v>389</v>
      </c>
      <c r="G21" s="98">
        <f aca="true" t="shared" si="13" ref="G21:G104">+H21+I21</f>
        <v>19770.899999999998</v>
      </c>
      <c r="H21" s="45">
        <f>6791.4+734.3+98.6+1863.1+659.1+493.1+283.9+485.9+4967.6+845.8+778.3+1769.8</f>
        <v>19770.899999999998</v>
      </c>
      <c r="I21" s="45"/>
      <c r="J21" s="98">
        <f t="shared" si="1"/>
        <v>44605.399999999994</v>
      </c>
      <c r="K21" s="54">
        <f>40075+98.7+169.2+712.8+244+260+265.3+102.7+246+1427+442.7+562</f>
        <v>44605.399999999994</v>
      </c>
      <c r="L21" s="54"/>
      <c r="M21" s="98">
        <f t="shared" si="2"/>
        <v>50000</v>
      </c>
      <c r="N21" s="45">
        <v>50000</v>
      </c>
      <c r="O21" s="45"/>
      <c r="P21" s="98">
        <f t="shared" si="3"/>
        <v>5394.600000000006</v>
      </c>
      <c r="Q21" s="98">
        <f t="shared" si="4"/>
        <v>5394.600000000006</v>
      </c>
      <c r="R21" s="98">
        <f t="shared" si="5"/>
        <v>0</v>
      </c>
      <c r="S21" s="98">
        <f t="shared" si="6"/>
        <v>50000</v>
      </c>
      <c r="T21" s="98">
        <f t="shared" si="7"/>
        <v>50000</v>
      </c>
      <c r="U21" s="98">
        <f t="shared" si="8"/>
        <v>0</v>
      </c>
      <c r="V21" s="98">
        <f t="shared" si="9"/>
        <v>50000</v>
      </c>
      <c r="W21" s="98">
        <f t="shared" si="10"/>
        <v>50000</v>
      </c>
      <c r="X21" s="98">
        <f t="shared" si="11"/>
        <v>0</v>
      </c>
      <c r="Y21" s="104"/>
      <c r="Z21" s="105"/>
    </row>
    <row r="22" spans="1:26" ht="21" customHeight="1">
      <c r="A22" s="12"/>
      <c r="B22" s="14"/>
      <c r="C22" s="14"/>
      <c r="D22" s="102"/>
      <c r="E22" s="103" t="s">
        <v>392</v>
      </c>
      <c r="F22" s="26" t="s">
        <v>391</v>
      </c>
      <c r="G22" s="98">
        <f t="shared" si="13"/>
        <v>4998.700000000001</v>
      </c>
      <c r="H22" s="45">
        <f>4931.5+8.8+58.1+0.3</f>
        <v>4998.700000000001</v>
      </c>
      <c r="I22" s="45"/>
      <c r="J22" s="98">
        <f t="shared" si="1"/>
        <v>17273</v>
      </c>
      <c r="K22" s="54">
        <v>17273</v>
      </c>
      <c r="L22" s="54"/>
      <c r="M22" s="98">
        <f t="shared" si="2"/>
        <v>15000</v>
      </c>
      <c r="N22" s="45">
        <v>15000</v>
      </c>
      <c r="O22" s="45"/>
      <c r="P22" s="98">
        <f t="shared" si="3"/>
        <v>-2273</v>
      </c>
      <c r="Q22" s="98">
        <f t="shared" si="4"/>
        <v>-2273</v>
      </c>
      <c r="R22" s="98">
        <f t="shared" si="5"/>
        <v>0</v>
      </c>
      <c r="S22" s="98">
        <f t="shared" si="6"/>
        <v>15000</v>
      </c>
      <c r="T22" s="98">
        <f t="shared" si="7"/>
        <v>15000</v>
      </c>
      <c r="U22" s="98">
        <f t="shared" si="8"/>
        <v>0</v>
      </c>
      <c r="V22" s="98">
        <f t="shared" si="9"/>
        <v>15000</v>
      </c>
      <c r="W22" s="98">
        <f t="shared" si="10"/>
        <v>15000</v>
      </c>
      <c r="X22" s="98">
        <f t="shared" si="11"/>
        <v>0</v>
      </c>
      <c r="Y22" s="104"/>
      <c r="Z22" s="105"/>
    </row>
    <row r="23" spans="1:26" ht="21" customHeight="1">
      <c r="A23" s="12"/>
      <c r="B23" s="14"/>
      <c r="C23" s="14"/>
      <c r="D23" s="102"/>
      <c r="E23" s="103" t="s">
        <v>394</v>
      </c>
      <c r="F23" s="26" t="s">
        <v>393</v>
      </c>
      <c r="G23" s="98">
        <f t="shared" si="13"/>
        <v>5663.900000000001</v>
      </c>
      <c r="H23" s="45">
        <f>2028+563.6+33.3+605.5+641.7+237.1+282+241+305.7+424.5+40.4+261.1</f>
        <v>5663.900000000001</v>
      </c>
      <c r="I23" s="45"/>
      <c r="J23" s="98">
        <f t="shared" si="1"/>
        <v>9037.3</v>
      </c>
      <c r="K23" s="54">
        <f>8360+18+109.8+83+132.4+62+60+41.6+56.6+72.1+41.8</f>
        <v>9037.3</v>
      </c>
      <c r="L23" s="54"/>
      <c r="M23" s="98">
        <f t="shared" si="2"/>
        <v>10000</v>
      </c>
      <c r="N23" s="45">
        <v>10000</v>
      </c>
      <c r="O23" s="45"/>
      <c r="P23" s="98">
        <f t="shared" si="3"/>
        <v>962.7000000000007</v>
      </c>
      <c r="Q23" s="98">
        <f t="shared" si="4"/>
        <v>962.7000000000007</v>
      </c>
      <c r="R23" s="98">
        <f t="shared" si="5"/>
        <v>0</v>
      </c>
      <c r="S23" s="98">
        <f t="shared" si="6"/>
        <v>10000</v>
      </c>
      <c r="T23" s="98">
        <f t="shared" si="7"/>
        <v>10000</v>
      </c>
      <c r="U23" s="98">
        <f t="shared" si="8"/>
        <v>0</v>
      </c>
      <c r="V23" s="98">
        <f t="shared" si="9"/>
        <v>10000</v>
      </c>
      <c r="W23" s="98">
        <f t="shared" si="10"/>
        <v>10000</v>
      </c>
      <c r="X23" s="98">
        <f t="shared" si="11"/>
        <v>0</v>
      </c>
      <c r="Y23" s="104"/>
      <c r="Z23" s="105"/>
    </row>
    <row r="24" spans="1:26" ht="21" customHeight="1">
      <c r="A24" s="12"/>
      <c r="B24" s="14"/>
      <c r="C24" s="14"/>
      <c r="D24" s="102"/>
      <c r="E24" s="103" t="s">
        <v>396</v>
      </c>
      <c r="F24" s="26" t="s">
        <v>395</v>
      </c>
      <c r="G24" s="98">
        <f t="shared" si="13"/>
        <v>432</v>
      </c>
      <c r="H24" s="45">
        <f>53+38+61+17+38+41+100+84</f>
        <v>432</v>
      </c>
      <c r="I24" s="45"/>
      <c r="J24" s="98">
        <f t="shared" si="1"/>
        <v>1000</v>
      </c>
      <c r="K24" s="54">
        <v>1000</v>
      </c>
      <c r="L24" s="54"/>
      <c r="M24" s="98">
        <f t="shared" si="2"/>
        <v>1000</v>
      </c>
      <c r="N24" s="45">
        <v>1000</v>
      </c>
      <c r="O24" s="45"/>
      <c r="P24" s="98">
        <f t="shared" si="3"/>
        <v>0</v>
      </c>
      <c r="Q24" s="98">
        <f t="shared" si="4"/>
        <v>0</v>
      </c>
      <c r="R24" s="98">
        <f t="shared" si="5"/>
        <v>0</v>
      </c>
      <c r="S24" s="98">
        <f t="shared" si="6"/>
        <v>1000</v>
      </c>
      <c r="T24" s="98">
        <f t="shared" si="7"/>
        <v>1000</v>
      </c>
      <c r="U24" s="98">
        <f t="shared" si="8"/>
        <v>0</v>
      </c>
      <c r="V24" s="98">
        <f t="shared" si="9"/>
        <v>1000</v>
      </c>
      <c r="W24" s="98">
        <f t="shared" si="10"/>
        <v>1000</v>
      </c>
      <c r="X24" s="98">
        <f t="shared" si="11"/>
        <v>0</v>
      </c>
      <c r="Y24" s="104"/>
      <c r="Z24" s="105"/>
    </row>
    <row r="25" spans="1:26" ht="21" customHeight="1">
      <c r="A25" s="12"/>
      <c r="B25" s="14"/>
      <c r="C25" s="14"/>
      <c r="D25" s="102"/>
      <c r="E25" s="103" t="s">
        <v>398</v>
      </c>
      <c r="F25" s="26" t="s">
        <v>397</v>
      </c>
      <c r="G25" s="98">
        <f t="shared" si="13"/>
        <v>0</v>
      </c>
      <c r="H25" s="45"/>
      <c r="I25" s="45"/>
      <c r="J25" s="98">
        <f t="shared" si="1"/>
        <v>3000</v>
      </c>
      <c r="K25" s="54">
        <v>3000</v>
      </c>
      <c r="L25" s="54"/>
      <c r="M25" s="98">
        <f t="shared" si="2"/>
        <v>2000</v>
      </c>
      <c r="N25" s="45">
        <v>2000</v>
      </c>
      <c r="O25" s="45"/>
      <c r="P25" s="98">
        <f t="shared" si="3"/>
        <v>-1000</v>
      </c>
      <c r="Q25" s="98">
        <f t="shared" si="4"/>
        <v>-1000</v>
      </c>
      <c r="R25" s="98">
        <f t="shared" si="5"/>
        <v>0</v>
      </c>
      <c r="S25" s="98">
        <f t="shared" si="6"/>
        <v>2000</v>
      </c>
      <c r="T25" s="98">
        <f t="shared" si="7"/>
        <v>2000</v>
      </c>
      <c r="U25" s="98">
        <f t="shared" si="8"/>
        <v>0</v>
      </c>
      <c r="V25" s="98">
        <f t="shared" si="9"/>
        <v>2000</v>
      </c>
      <c r="W25" s="98">
        <f t="shared" si="10"/>
        <v>2000</v>
      </c>
      <c r="X25" s="98">
        <f t="shared" si="11"/>
        <v>0</v>
      </c>
      <c r="Y25" s="104"/>
      <c r="Z25" s="105"/>
    </row>
    <row r="26" spans="1:26" ht="21" customHeight="1">
      <c r="A26" s="12"/>
      <c r="B26" s="14"/>
      <c r="C26" s="14"/>
      <c r="D26" s="102"/>
      <c r="E26" s="103" t="s">
        <v>402</v>
      </c>
      <c r="F26" s="26" t="s">
        <v>401</v>
      </c>
      <c r="G26" s="98">
        <f t="shared" si="13"/>
        <v>14.8</v>
      </c>
      <c r="H26" s="45">
        <f>10+4.8</f>
        <v>14.8</v>
      </c>
      <c r="I26" s="45"/>
      <c r="J26" s="98">
        <f t="shared" si="1"/>
        <v>900</v>
      </c>
      <c r="K26" s="54">
        <v>900</v>
      </c>
      <c r="L26" s="54"/>
      <c r="M26" s="98">
        <f t="shared" si="2"/>
        <v>1000</v>
      </c>
      <c r="N26" s="45">
        <v>1000</v>
      </c>
      <c r="O26" s="45"/>
      <c r="P26" s="98">
        <f t="shared" si="3"/>
        <v>100</v>
      </c>
      <c r="Q26" s="98">
        <f t="shared" si="4"/>
        <v>100</v>
      </c>
      <c r="R26" s="98">
        <f t="shared" si="5"/>
        <v>0</v>
      </c>
      <c r="S26" s="98">
        <f t="shared" si="6"/>
        <v>1000</v>
      </c>
      <c r="T26" s="98">
        <f t="shared" si="7"/>
        <v>1000</v>
      </c>
      <c r="U26" s="98">
        <f t="shared" si="8"/>
        <v>0</v>
      </c>
      <c r="V26" s="98">
        <f t="shared" si="9"/>
        <v>1000</v>
      </c>
      <c r="W26" s="98">
        <f t="shared" si="10"/>
        <v>1000</v>
      </c>
      <c r="X26" s="98">
        <f t="shared" si="11"/>
        <v>0</v>
      </c>
      <c r="Y26" s="104"/>
      <c r="Z26" s="105"/>
    </row>
    <row r="27" spans="1:26" ht="21" customHeight="1">
      <c r="A27" s="12"/>
      <c r="B27" s="14"/>
      <c r="C27" s="14"/>
      <c r="D27" s="102"/>
      <c r="E27" s="103" t="s">
        <v>404</v>
      </c>
      <c r="F27" s="26" t="s">
        <v>403</v>
      </c>
      <c r="G27" s="98">
        <f t="shared" si="13"/>
        <v>0</v>
      </c>
      <c r="H27" s="45"/>
      <c r="I27" s="45"/>
      <c r="J27" s="98">
        <f t="shared" si="1"/>
        <v>5100</v>
      </c>
      <c r="K27" s="54">
        <v>5100</v>
      </c>
      <c r="L27" s="54"/>
      <c r="M27" s="98">
        <f t="shared" si="2"/>
        <v>3000</v>
      </c>
      <c r="N27" s="45">
        <v>3000</v>
      </c>
      <c r="O27" s="45"/>
      <c r="P27" s="98">
        <f t="shared" si="3"/>
        <v>-2100</v>
      </c>
      <c r="Q27" s="98">
        <f t="shared" si="4"/>
        <v>-2100</v>
      </c>
      <c r="R27" s="98">
        <f t="shared" si="5"/>
        <v>0</v>
      </c>
      <c r="S27" s="98">
        <f t="shared" si="6"/>
        <v>3000</v>
      </c>
      <c r="T27" s="98">
        <f t="shared" si="7"/>
        <v>3000</v>
      </c>
      <c r="U27" s="98">
        <f t="shared" si="8"/>
        <v>0</v>
      </c>
      <c r="V27" s="98">
        <f t="shared" si="9"/>
        <v>3000</v>
      </c>
      <c r="W27" s="98">
        <f t="shared" si="10"/>
        <v>3000</v>
      </c>
      <c r="X27" s="98">
        <f t="shared" si="11"/>
        <v>0</v>
      </c>
      <c r="Y27" s="104"/>
      <c r="Z27" s="105"/>
    </row>
    <row r="28" spans="1:26" ht="21" customHeight="1">
      <c r="A28" s="12"/>
      <c r="B28" s="14"/>
      <c r="C28" s="14"/>
      <c r="D28" s="102"/>
      <c r="E28" s="13" t="s">
        <v>408</v>
      </c>
      <c r="F28" s="26">
        <v>4231</v>
      </c>
      <c r="G28" s="98">
        <f t="shared" si="13"/>
        <v>990</v>
      </c>
      <c r="H28" s="45">
        <v>990</v>
      </c>
      <c r="I28" s="45"/>
      <c r="J28" s="98"/>
      <c r="K28" s="54"/>
      <c r="L28" s="54"/>
      <c r="M28" s="98"/>
      <c r="N28" s="45"/>
      <c r="O28" s="45"/>
      <c r="P28" s="98">
        <f t="shared" si="3"/>
        <v>0</v>
      </c>
      <c r="Q28" s="98">
        <f t="shared" si="4"/>
        <v>0</v>
      </c>
      <c r="R28" s="98">
        <f t="shared" si="5"/>
        <v>0</v>
      </c>
      <c r="S28" s="98">
        <f t="shared" si="6"/>
        <v>0</v>
      </c>
      <c r="T28" s="98">
        <f t="shared" si="7"/>
        <v>0</v>
      </c>
      <c r="U28" s="98">
        <f t="shared" si="8"/>
        <v>0</v>
      </c>
      <c r="V28" s="98">
        <f t="shared" si="9"/>
        <v>0</v>
      </c>
      <c r="W28" s="98">
        <f t="shared" si="10"/>
        <v>0</v>
      </c>
      <c r="X28" s="98">
        <f t="shared" si="11"/>
        <v>0</v>
      </c>
      <c r="Y28" s="104"/>
      <c r="Z28" s="105"/>
    </row>
    <row r="29" spans="1:26" ht="21" customHeight="1">
      <c r="A29" s="12"/>
      <c r="B29" s="14"/>
      <c r="C29" s="14"/>
      <c r="D29" s="102"/>
      <c r="E29" s="103" t="s">
        <v>410</v>
      </c>
      <c r="F29" s="26" t="s">
        <v>409</v>
      </c>
      <c r="G29" s="98">
        <f t="shared" si="13"/>
        <v>1047.8</v>
      </c>
      <c r="H29" s="45">
        <f>195.6+120+120+347.4+94.2+89+72+9.6</f>
        <v>1047.8</v>
      </c>
      <c r="I29" s="45"/>
      <c r="J29" s="98">
        <f t="shared" si="1"/>
        <v>3000</v>
      </c>
      <c r="K29" s="54">
        <v>3000</v>
      </c>
      <c r="L29" s="54"/>
      <c r="M29" s="98">
        <f t="shared" si="2"/>
        <v>2000</v>
      </c>
      <c r="N29" s="45">
        <v>2000</v>
      </c>
      <c r="O29" s="45"/>
      <c r="P29" s="98">
        <f t="shared" si="3"/>
        <v>-1000</v>
      </c>
      <c r="Q29" s="98">
        <f t="shared" si="4"/>
        <v>-1000</v>
      </c>
      <c r="R29" s="98">
        <f t="shared" si="5"/>
        <v>0</v>
      </c>
      <c r="S29" s="98">
        <f t="shared" si="6"/>
        <v>2000</v>
      </c>
      <c r="T29" s="98">
        <f t="shared" si="7"/>
        <v>2000</v>
      </c>
      <c r="U29" s="98">
        <f t="shared" si="8"/>
        <v>0</v>
      </c>
      <c r="V29" s="98">
        <f t="shared" si="9"/>
        <v>2000</v>
      </c>
      <c r="W29" s="98">
        <f t="shared" si="10"/>
        <v>2000</v>
      </c>
      <c r="X29" s="98">
        <f t="shared" si="11"/>
        <v>0</v>
      </c>
      <c r="Y29" s="104"/>
      <c r="Z29" s="105"/>
    </row>
    <row r="30" spans="1:26" ht="30" customHeight="1">
      <c r="A30" s="12"/>
      <c r="B30" s="14"/>
      <c r="C30" s="14"/>
      <c r="D30" s="102"/>
      <c r="E30" s="103" t="s">
        <v>412</v>
      </c>
      <c r="F30" s="26" t="s">
        <v>411</v>
      </c>
      <c r="G30" s="98">
        <f t="shared" si="13"/>
        <v>617</v>
      </c>
      <c r="H30" s="45">
        <f>214+95+308</f>
        <v>617</v>
      </c>
      <c r="I30" s="45"/>
      <c r="J30" s="98">
        <f t="shared" si="1"/>
        <v>1000</v>
      </c>
      <c r="K30" s="54">
        <v>1000</v>
      </c>
      <c r="L30" s="54"/>
      <c r="M30" s="98">
        <f t="shared" si="2"/>
        <v>1000</v>
      </c>
      <c r="N30" s="45">
        <v>1000</v>
      </c>
      <c r="O30" s="45"/>
      <c r="P30" s="98">
        <f t="shared" si="3"/>
        <v>0</v>
      </c>
      <c r="Q30" s="98">
        <f t="shared" si="4"/>
        <v>0</v>
      </c>
      <c r="R30" s="98">
        <f t="shared" si="5"/>
        <v>0</v>
      </c>
      <c r="S30" s="98">
        <f t="shared" si="6"/>
        <v>1000</v>
      </c>
      <c r="T30" s="98">
        <f t="shared" si="7"/>
        <v>1000</v>
      </c>
      <c r="U30" s="98">
        <f t="shared" si="8"/>
        <v>0</v>
      </c>
      <c r="V30" s="98">
        <f t="shared" si="9"/>
        <v>1000</v>
      </c>
      <c r="W30" s="98">
        <f t="shared" si="10"/>
        <v>1000</v>
      </c>
      <c r="X30" s="98">
        <f t="shared" si="11"/>
        <v>0</v>
      </c>
      <c r="Y30" s="104"/>
      <c r="Z30" s="105"/>
    </row>
    <row r="31" spans="1:26" ht="19.5" customHeight="1">
      <c r="A31" s="12"/>
      <c r="B31" s="14"/>
      <c r="C31" s="14"/>
      <c r="D31" s="102"/>
      <c r="E31" s="13" t="s">
        <v>414</v>
      </c>
      <c r="F31" s="26">
        <v>4234</v>
      </c>
      <c r="G31" s="98">
        <f t="shared" si="13"/>
        <v>1469.7</v>
      </c>
      <c r="H31" s="45">
        <f>1014.7+137+300+18</f>
        <v>1469.7</v>
      </c>
      <c r="I31" s="45"/>
      <c r="J31" s="98"/>
      <c r="K31" s="54"/>
      <c r="L31" s="54"/>
      <c r="M31" s="98"/>
      <c r="N31" s="45"/>
      <c r="O31" s="45"/>
      <c r="P31" s="98">
        <f t="shared" si="3"/>
        <v>0</v>
      </c>
      <c r="Q31" s="98">
        <f t="shared" si="4"/>
        <v>0</v>
      </c>
      <c r="R31" s="98">
        <f t="shared" si="5"/>
        <v>0</v>
      </c>
      <c r="S31" s="98">
        <f t="shared" si="6"/>
        <v>0</v>
      </c>
      <c r="T31" s="98">
        <f t="shared" si="7"/>
        <v>0</v>
      </c>
      <c r="U31" s="98">
        <f t="shared" si="8"/>
        <v>0</v>
      </c>
      <c r="V31" s="98">
        <f t="shared" si="9"/>
        <v>0</v>
      </c>
      <c r="W31" s="98">
        <f t="shared" si="10"/>
        <v>0</v>
      </c>
      <c r="X31" s="98">
        <f t="shared" si="11"/>
        <v>0</v>
      </c>
      <c r="Y31" s="104"/>
      <c r="Z31" s="105"/>
    </row>
    <row r="32" spans="1:26" ht="18.75" customHeight="1">
      <c r="A32" s="12"/>
      <c r="B32" s="14"/>
      <c r="C32" s="14"/>
      <c r="D32" s="102"/>
      <c r="E32" s="103" t="s">
        <v>416</v>
      </c>
      <c r="F32" s="26">
        <v>4235</v>
      </c>
      <c r="G32" s="98">
        <f t="shared" si="13"/>
        <v>1320</v>
      </c>
      <c r="H32" s="45">
        <f>250+70+300+700</f>
        <v>1320</v>
      </c>
      <c r="I32" s="45"/>
      <c r="J32" s="98"/>
      <c r="K32" s="54"/>
      <c r="L32" s="54"/>
      <c r="M32" s="98"/>
      <c r="N32" s="45"/>
      <c r="O32" s="45"/>
      <c r="P32" s="98">
        <f t="shared" si="3"/>
        <v>0</v>
      </c>
      <c r="Q32" s="98">
        <f t="shared" si="4"/>
        <v>0</v>
      </c>
      <c r="R32" s="98">
        <f t="shared" si="5"/>
        <v>0</v>
      </c>
      <c r="S32" s="98">
        <f t="shared" si="6"/>
        <v>0</v>
      </c>
      <c r="T32" s="98">
        <f t="shared" si="7"/>
        <v>0</v>
      </c>
      <c r="U32" s="98">
        <f t="shared" si="8"/>
        <v>0</v>
      </c>
      <c r="V32" s="98">
        <f t="shared" si="9"/>
        <v>0</v>
      </c>
      <c r="W32" s="98">
        <f t="shared" si="10"/>
        <v>0</v>
      </c>
      <c r="X32" s="98">
        <f t="shared" si="11"/>
        <v>0</v>
      </c>
      <c r="Y32" s="104"/>
      <c r="Z32" s="105"/>
    </row>
    <row r="33" spans="1:26" ht="21" customHeight="1">
      <c r="A33" s="12"/>
      <c r="B33" s="14"/>
      <c r="C33" s="14"/>
      <c r="D33" s="102"/>
      <c r="E33" s="103" t="s">
        <v>622</v>
      </c>
      <c r="F33" s="26">
        <v>4236</v>
      </c>
      <c r="G33" s="98">
        <f t="shared" si="13"/>
        <v>330</v>
      </c>
      <c r="H33" s="45">
        <v>330</v>
      </c>
      <c r="I33" s="45"/>
      <c r="J33" s="98">
        <f t="shared" si="1"/>
        <v>1000</v>
      </c>
      <c r="K33" s="54">
        <v>1000</v>
      </c>
      <c r="L33" s="54"/>
      <c r="M33" s="98">
        <f t="shared" si="2"/>
        <v>1000</v>
      </c>
      <c r="N33" s="45">
        <v>1000</v>
      </c>
      <c r="O33" s="45"/>
      <c r="P33" s="98">
        <f t="shared" si="3"/>
        <v>0</v>
      </c>
      <c r="Q33" s="98">
        <f t="shared" si="4"/>
        <v>0</v>
      </c>
      <c r="R33" s="98">
        <f t="shared" si="5"/>
        <v>0</v>
      </c>
      <c r="S33" s="98">
        <f t="shared" si="6"/>
        <v>1000</v>
      </c>
      <c r="T33" s="98">
        <f t="shared" si="7"/>
        <v>1000</v>
      </c>
      <c r="U33" s="98">
        <f t="shared" si="8"/>
        <v>0</v>
      </c>
      <c r="V33" s="98">
        <f t="shared" si="9"/>
        <v>1000</v>
      </c>
      <c r="W33" s="98">
        <f t="shared" si="10"/>
        <v>1000</v>
      </c>
      <c r="X33" s="98">
        <f t="shared" si="11"/>
        <v>0</v>
      </c>
      <c r="Y33" s="104"/>
      <c r="Z33" s="105"/>
    </row>
    <row r="34" spans="1:26" ht="21" customHeight="1">
      <c r="A34" s="12"/>
      <c r="B34" s="14"/>
      <c r="C34" s="14"/>
      <c r="D34" s="102"/>
      <c r="E34" s="103" t="s">
        <v>420</v>
      </c>
      <c r="F34" s="26" t="s">
        <v>421</v>
      </c>
      <c r="G34" s="98">
        <f t="shared" si="13"/>
        <v>7348.3</v>
      </c>
      <c r="H34" s="45">
        <f>3400+45+67.3+91+268+1287+1200+990</f>
        <v>7348.3</v>
      </c>
      <c r="I34" s="45"/>
      <c r="J34" s="98">
        <f t="shared" si="1"/>
        <v>8300</v>
      </c>
      <c r="K34" s="54">
        <v>8300</v>
      </c>
      <c r="L34" s="54"/>
      <c r="M34" s="98">
        <f t="shared" si="2"/>
        <v>7000</v>
      </c>
      <c r="N34" s="45">
        <v>7000</v>
      </c>
      <c r="O34" s="45"/>
      <c r="P34" s="98">
        <f t="shared" si="3"/>
        <v>-1300</v>
      </c>
      <c r="Q34" s="98">
        <f t="shared" si="4"/>
        <v>-1300</v>
      </c>
      <c r="R34" s="98">
        <f t="shared" si="5"/>
        <v>0</v>
      </c>
      <c r="S34" s="98">
        <f t="shared" si="6"/>
        <v>7000</v>
      </c>
      <c r="T34" s="98">
        <f t="shared" si="7"/>
        <v>7000</v>
      </c>
      <c r="U34" s="98">
        <f t="shared" si="8"/>
        <v>0</v>
      </c>
      <c r="V34" s="98">
        <f t="shared" si="9"/>
        <v>7000</v>
      </c>
      <c r="W34" s="98">
        <f t="shared" si="10"/>
        <v>7000</v>
      </c>
      <c r="X34" s="98">
        <f t="shared" si="11"/>
        <v>0</v>
      </c>
      <c r="Y34" s="104"/>
      <c r="Z34" s="105"/>
    </row>
    <row r="35" spans="1:26" ht="21" customHeight="1">
      <c r="A35" s="12"/>
      <c r="B35" s="14"/>
      <c r="C35" s="14"/>
      <c r="D35" s="102"/>
      <c r="E35" s="103" t="s">
        <v>425</v>
      </c>
      <c r="F35" s="26" t="s">
        <v>424</v>
      </c>
      <c r="G35" s="98">
        <f t="shared" si="13"/>
        <v>6906.1</v>
      </c>
      <c r="H35" s="45">
        <f>181+643.2+588.8+1399.8+76.9+31.4+723.3+1387.3+672+1202.4</f>
        <v>6906.1</v>
      </c>
      <c r="I35" s="45"/>
      <c r="J35" s="98">
        <f t="shared" si="1"/>
        <v>331</v>
      </c>
      <c r="K35" s="54">
        <f>300+18+13</f>
        <v>331</v>
      </c>
      <c r="L35" s="54"/>
      <c r="M35" s="98">
        <f t="shared" si="2"/>
        <v>500</v>
      </c>
      <c r="N35" s="45">
        <v>500</v>
      </c>
      <c r="O35" s="45"/>
      <c r="P35" s="98">
        <f t="shared" si="3"/>
        <v>169</v>
      </c>
      <c r="Q35" s="98">
        <f t="shared" si="4"/>
        <v>169</v>
      </c>
      <c r="R35" s="98">
        <f t="shared" si="5"/>
        <v>0</v>
      </c>
      <c r="S35" s="98">
        <f t="shared" si="6"/>
        <v>500</v>
      </c>
      <c r="T35" s="98">
        <f t="shared" si="7"/>
        <v>500</v>
      </c>
      <c r="U35" s="98">
        <f t="shared" si="8"/>
        <v>0</v>
      </c>
      <c r="V35" s="98">
        <f t="shared" si="9"/>
        <v>500</v>
      </c>
      <c r="W35" s="98">
        <f t="shared" si="10"/>
        <v>500</v>
      </c>
      <c r="X35" s="98">
        <f t="shared" si="11"/>
        <v>0</v>
      </c>
      <c r="Y35" s="104"/>
      <c r="Z35" s="105"/>
    </row>
    <row r="36" spans="1:26" ht="21" customHeight="1">
      <c r="A36" s="12"/>
      <c r="B36" s="14"/>
      <c r="C36" s="14"/>
      <c r="D36" s="102"/>
      <c r="E36" s="13" t="s">
        <v>429</v>
      </c>
      <c r="F36" s="26">
        <v>4251</v>
      </c>
      <c r="G36" s="98">
        <f t="shared" si="13"/>
        <v>91</v>
      </c>
      <c r="H36" s="45">
        <v>91</v>
      </c>
      <c r="I36" s="45"/>
      <c r="J36" s="98"/>
      <c r="K36" s="54"/>
      <c r="L36" s="54"/>
      <c r="M36" s="98"/>
      <c r="N36" s="45"/>
      <c r="O36" s="45"/>
      <c r="P36" s="98">
        <f t="shared" si="3"/>
        <v>0</v>
      </c>
      <c r="Q36" s="98">
        <f t="shared" si="4"/>
        <v>0</v>
      </c>
      <c r="R36" s="98">
        <f t="shared" si="5"/>
        <v>0</v>
      </c>
      <c r="S36" s="98">
        <f t="shared" si="6"/>
        <v>0</v>
      </c>
      <c r="T36" s="98">
        <f t="shared" si="7"/>
        <v>0</v>
      </c>
      <c r="U36" s="98">
        <f t="shared" si="8"/>
        <v>0</v>
      </c>
      <c r="V36" s="98">
        <f t="shared" si="9"/>
        <v>0</v>
      </c>
      <c r="W36" s="98">
        <f t="shared" si="10"/>
        <v>0</v>
      </c>
      <c r="X36" s="98">
        <f t="shared" si="11"/>
        <v>0</v>
      </c>
      <c r="Y36" s="104"/>
      <c r="Z36" s="105"/>
    </row>
    <row r="37" spans="1:26" ht="26.25" customHeight="1">
      <c r="A37" s="12"/>
      <c r="B37" s="14"/>
      <c r="C37" s="14"/>
      <c r="D37" s="102"/>
      <c r="E37" s="103" t="s">
        <v>431</v>
      </c>
      <c r="F37" s="26" t="s">
        <v>430</v>
      </c>
      <c r="G37" s="98">
        <f t="shared" si="13"/>
        <v>5569.099999999999</v>
      </c>
      <c r="H37" s="45">
        <f>1437+436.6+308.2+355+845+141+205+525+665.8+50+600.5</f>
        <v>5569.099999999999</v>
      </c>
      <c r="I37" s="45"/>
      <c r="J37" s="98">
        <f t="shared" si="1"/>
        <v>10000</v>
      </c>
      <c r="K37" s="54">
        <v>10000</v>
      </c>
      <c r="L37" s="54"/>
      <c r="M37" s="98">
        <f t="shared" si="2"/>
        <v>5000</v>
      </c>
      <c r="N37" s="45">
        <v>5000</v>
      </c>
      <c r="O37" s="45"/>
      <c r="P37" s="98">
        <f t="shared" si="3"/>
        <v>-5000</v>
      </c>
      <c r="Q37" s="98">
        <f t="shared" si="4"/>
        <v>-5000</v>
      </c>
      <c r="R37" s="98">
        <f t="shared" si="5"/>
        <v>0</v>
      </c>
      <c r="S37" s="98">
        <f t="shared" si="6"/>
        <v>5000</v>
      </c>
      <c r="T37" s="98">
        <f t="shared" si="7"/>
        <v>5000</v>
      </c>
      <c r="U37" s="98">
        <f t="shared" si="8"/>
        <v>0</v>
      </c>
      <c r="V37" s="98">
        <f t="shared" si="9"/>
        <v>5000</v>
      </c>
      <c r="W37" s="98">
        <f t="shared" si="10"/>
        <v>5000</v>
      </c>
      <c r="X37" s="98">
        <f t="shared" si="11"/>
        <v>0</v>
      </c>
      <c r="Y37" s="104"/>
      <c r="Z37" s="105"/>
    </row>
    <row r="38" spans="1:26" ht="21" customHeight="1">
      <c r="A38" s="12"/>
      <c r="B38" s="14"/>
      <c r="C38" s="14"/>
      <c r="D38" s="102"/>
      <c r="E38" s="103" t="s">
        <v>435</v>
      </c>
      <c r="F38" s="26" t="s">
        <v>434</v>
      </c>
      <c r="G38" s="98">
        <f t="shared" si="13"/>
        <v>8979.200000000003</v>
      </c>
      <c r="H38" s="45">
        <f>3798.5+746+230.3+1189.5+902.1+157.8+609.7+562+397.1+60+326.2</f>
        <v>8979.200000000003</v>
      </c>
      <c r="I38" s="45"/>
      <c r="J38" s="98">
        <f t="shared" si="1"/>
        <v>20170</v>
      </c>
      <c r="K38" s="54">
        <v>20170</v>
      </c>
      <c r="L38" s="54"/>
      <c r="M38" s="98">
        <f t="shared" si="2"/>
        <v>20000</v>
      </c>
      <c r="N38" s="45">
        <v>20000</v>
      </c>
      <c r="O38" s="45"/>
      <c r="P38" s="98">
        <f t="shared" si="3"/>
        <v>-170</v>
      </c>
      <c r="Q38" s="98">
        <f t="shared" si="4"/>
        <v>-170</v>
      </c>
      <c r="R38" s="98">
        <f t="shared" si="5"/>
        <v>0</v>
      </c>
      <c r="S38" s="98">
        <f t="shared" si="6"/>
        <v>20000</v>
      </c>
      <c r="T38" s="98">
        <f t="shared" si="7"/>
        <v>20000</v>
      </c>
      <c r="U38" s="98">
        <f t="shared" si="8"/>
        <v>0</v>
      </c>
      <c r="V38" s="98">
        <f t="shared" si="9"/>
        <v>20000</v>
      </c>
      <c r="W38" s="98">
        <f t="shared" si="10"/>
        <v>20000</v>
      </c>
      <c r="X38" s="98">
        <f t="shared" si="11"/>
        <v>0</v>
      </c>
      <c r="Y38" s="104"/>
      <c r="Z38" s="105"/>
    </row>
    <row r="39" spans="1:26" ht="21" customHeight="1">
      <c r="A39" s="12"/>
      <c r="B39" s="14"/>
      <c r="C39" s="14"/>
      <c r="D39" s="102"/>
      <c r="E39" s="13" t="s">
        <v>719</v>
      </c>
      <c r="F39" s="26">
        <v>4263</v>
      </c>
      <c r="G39" s="98">
        <f t="shared" si="13"/>
        <v>18</v>
      </c>
      <c r="H39" s="45">
        <v>18</v>
      </c>
      <c r="I39" s="45"/>
      <c r="J39" s="98"/>
      <c r="K39" s="54"/>
      <c r="L39" s="54"/>
      <c r="M39" s="98"/>
      <c r="N39" s="45"/>
      <c r="O39" s="45"/>
      <c r="P39" s="98">
        <f t="shared" si="3"/>
        <v>0</v>
      </c>
      <c r="Q39" s="98">
        <f t="shared" si="4"/>
        <v>0</v>
      </c>
      <c r="R39" s="98">
        <f t="shared" si="5"/>
        <v>0</v>
      </c>
      <c r="S39" s="98">
        <f t="shared" si="6"/>
        <v>0</v>
      </c>
      <c r="T39" s="98">
        <f t="shared" si="7"/>
        <v>0</v>
      </c>
      <c r="U39" s="98">
        <f t="shared" si="8"/>
        <v>0</v>
      </c>
      <c r="V39" s="98">
        <f t="shared" si="9"/>
        <v>0</v>
      </c>
      <c r="W39" s="98">
        <f t="shared" si="10"/>
        <v>0</v>
      </c>
      <c r="X39" s="98">
        <f t="shared" si="11"/>
        <v>0</v>
      </c>
      <c r="Y39" s="104"/>
      <c r="Z39" s="105"/>
    </row>
    <row r="40" spans="1:26" ht="21" customHeight="1">
      <c r="A40" s="12"/>
      <c r="B40" s="14"/>
      <c r="C40" s="14"/>
      <c r="D40" s="102"/>
      <c r="E40" s="103" t="s">
        <v>437</v>
      </c>
      <c r="F40" s="26" t="s">
        <v>436</v>
      </c>
      <c r="G40" s="98">
        <f t="shared" si="13"/>
        <v>15665.199999999999</v>
      </c>
      <c r="H40" s="45">
        <f>2089+990.2+1499.9+2273+1487.5+1276.2+992.3+2243.4+1206.8+1606.9</f>
        <v>15665.199999999999</v>
      </c>
      <c r="I40" s="45"/>
      <c r="J40" s="98">
        <f t="shared" si="1"/>
        <v>18851.100000000002</v>
      </c>
      <c r="K40" s="54">
        <f>18046+376+158.4+270.7</f>
        <v>18851.100000000002</v>
      </c>
      <c r="L40" s="54"/>
      <c r="M40" s="98">
        <f t="shared" si="2"/>
        <v>15000</v>
      </c>
      <c r="N40" s="45">
        <v>15000</v>
      </c>
      <c r="O40" s="45"/>
      <c r="P40" s="98">
        <f t="shared" si="3"/>
        <v>-3851.100000000002</v>
      </c>
      <c r="Q40" s="98">
        <f t="shared" si="4"/>
        <v>-3851.100000000002</v>
      </c>
      <c r="R40" s="98">
        <f t="shared" si="5"/>
        <v>0</v>
      </c>
      <c r="S40" s="98">
        <f t="shared" si="6"/>
        <v>15000</v>
      </c>
      <c r="T40" s="98">
        <f t="shared" si="7"/>
        <v>15000</v>
      </c>
      <c r="U40" s="98">
        <f t="shared" si="8"/>
        <v>0</v>
      </c>
      <c r="V40" s="98">
        <f t="shared" si="9"/>
        <v>15000</v>
      </c>
      <c r="W40" s="98">
        <f t="shared" si="10"/>
        <v>15000</v>
      </c>
      <c r="X40" s="98">
        <f t="shared" si="11"/>
        <v>0</v>
      </c>
      <c r="Y40" s="104"/>
      <c r="Z40" s="105"/>
    </row>
    <row r="41" spans="1:26" ht="21" customHeight="1">
      <c r="A41" s="12"/>
      <c r="B41" s="14"/>
      <c r="C41" s="14"/>
      <c r="D41" s="102"/>
      <c r="E41" s="13" t="s">
        <v>721</v>
      </c>
      <c r="F41" s="26">
        <v>4266</v>
      </c>
      <c r="G41" s="98">
        <f t="shared" si="13"/>
        <v>358</v>
      </c>
      <c r="H41" s="45">
        <v>358</v>
      </c>
      <c r="I41" s="45"/>
      <c r="J41" s="98"/>
      <c r="K41" s="54"/>
      <c r="L41" s="54"/>
      <c r="M41" s="98"/>
      <c r="N41" s="45"/>
      <c r="O41" s="45"/>
      <c r="P41" s="98">
        <f t="shared" si="3"/>
        <v>0</v>
      </c>
      <c r="Q41" s="98">
        <f t="shared" si="4"/>
        <v>0</v>
      </c>
      <c r="R41" s="98">
        <f t="shared" si="5"/>
        <v>0</v>
      </c>
      <c r="S41" s="98">
        <f t="shared" si="6"/>
        <v>0</v>
      </c>
      <c r="T41" s="98">
        <f t="shared" si="7"/>
        <v>0</v>
      </c>
      <c r="U41" s="98">
        <f t="shared" si="8"/>
        <v>0</v>
      </c>
      <c r="V41" s="98">
        <f t="shared" si="9"/>
        <v>0</v>
      </c>
      <c r="W41" s="98">
        <f t="shared" si="10"/>
        <v>0</v>
      </c>
      <c r="X41" s="98">
        <f t="shared" si="11"/>
        <v>0</v>
      </c>
      <c r="Y41" s="104"/>
      <c r="Z41" s="105"/>
    </row>
    <row r="42" spans="1:26" ht="21" customHeight="1">
      <c r="A42" s="12"/>
      <c r="B42" s="14"/>
      <c r="C42" s="14"/>
      <c r="D42" s="102"/>
      <c r="E42" s="103" t="s">
        <v>439</v>
      </c>
      <c r="F42" s="26" t="s">
        <v>438</v>
      </c>
      <c r="G42" s="98">
        <f t="shared" si="13"/>
        <v>7423.699999999999</v>
      </c>
      <c r="H42" s="45">
        <f>3622.7+197.6+1330.5+454.4+334+473.3+535+263.9+212.3</f>
        <v>7423.699999999999</v>
      </c>
      <c r="I42" s="45"/>
      <c r="J42" s="98">
        <f t="shared" si="1"/>
        <v>20050</v>
      </c>
      <c r="K42" s="54">
        <f>20000+50</f>
        <v>20050</v>
      </c>
      <c r="L42" s="54"/>
      <c r="M42" s="98">
        <f t="shared" si="2"/>
        <v>20000</v>
      </c>
      <c r="N42" s="45">
        <v>20000</v>
      </c>
      <c r="O42" s="45"/>
      <c r="P42" s="98">
        <f t="shared" si="3"/>
        <v>-50</v>
      </c>
      <c r="Q42" s="98">
        <f t="shared" si="4"/>
        <v>-50</v>
      </c>
      <c r="R42" s="98">
        <f t="shared" si="5"/>
        <v>0</v>
      </c>
      <c r="S42" s="98">
        <f t="shared" si="6"/>
        <v>20000</v>
      </c>
      <c r="T42" s="98">
        <f t="shared" si="7"/>
        <v>20000</v>
      </c>
      <c r="U42" s="98">
        <f t="shared" si="8"/>
        <v>0</v>
      </c>
      <c r="V42" s="98">
        <f t="shared" si="9"/>
        <v>20000</v>
      </c>
      <c r="W42" s="98">
        <f t="shared" si="10"/>
        <v>20000</v>
      </c>
      <c r="X42" s="98">
        <f t="shared" si="11"/>
        <v>0</v>
      </c>
      <c r="Y42" s="104"/>
      <c r="Z42" s="105"/>
    </row>
    <row r="43" spans="1:26" ht="21" customHeight="1">
      <c r="A43" s="12"/>
      <c r="B43" s="14"/>
      <c r="C43" s="14"/>
      <c r="D43" s="102"/>
      <c r="E43" s="13" t="s">
        <v>441</v>
      </c>
      <c r="F43" s="26">
        <v>4269</v>
      </c>
      <c r="G43" s="98">
        <f t="shared" si="13"/>
        <v>1897.5</v>
      </c>
      <c r="H43" s="45">
        <f>217.4+76+109.6+360.1+1134.4</f>
        <v>1897.5</v>
      </c>
      <c r="I43" s="45"/>
      <c r="J43" s="98"/>
      <c r="K43" s="54"/>
      <c r="L43" s="54"/>
      <c r="M43" s="98"/>
      <c r="N43" s="45"/>
      <c r="O43" s="45"/>
      <c r="P43" s="98">
        <f t="shared" si="3"/>
        <v>0</v>
      </c>
      <c r="Q43" s="98">
        <f t="shared" si="4"/>
        <v>0</v>
      </c>
      <c r="R43" s="98">
        <f t="shared" si="5"/>
        <v>0</v>
      </c>
      <c r="S43" s="98">
        <f t="shared" si="6"/>
        <v>0</v>
      </c>
      <c r="T43" s="98">
        <f t="shared" si="7"/>
        <v>0</v>
      </c>
      <c r="U43" s="98">
        <f t="shared" si="8"/>
        <v>0</v>
      </c>
      <c r="V43" s="98">
        <f t="shared" si="9"/>
        <v>0</v>
      </c>
      <c r="W43" s="98">
        <f t="shared" si="10"/>
        <v>0</v>
      </c>
      <c r="X43" s="98">
        <f t="shared" si="11"/>
        <v>0</v>
      </c>
      <c r="Y43" s="104"/>
      <c r="Z43" s="105"/>
    </row>
    <row r="44" spans="1:26" ht="27" customHeight="1">
      <c r="A44" s="12"/>
      <c r="B44" s="14"/>
      <c r="C44" s="14"/>
      <c r="D44" s="102"/>
      <c r="E44" s="103" t="s">
        <v>455</v>
      </c>
      <c r="F44" s="26" t="s">
        <v>456</v>
      </c>
      <c r="G44" s="98">
        <f t="shared" si="13"/>
        <v>0</v>
      </c>
      <c r="H44" s="45"/>
      <c r="I44" s="45"/>
      <c r="J44" s="98">
        <f t="shared" si="1"/>
        <v>0</v>
      </c>
      <c r="K44" s="54"/>
      <c r="L44" s="54"/>
      <c r="M44" s="98">
        <f t="shared" si="2"/>
        <v>0</v>
      </c>
      <c r="N44" s="45"/>
      <c r="O44" s="45"/>
      <c r="P44" s="98">
        <f t="shared" si="3"/>
        <v>0</v>
      </c>
      <c r="Q44" s="98">
        <f t="shared" si="4"/>
        <v>0</v>
      </c>
      <c r="R44" s="98">
        <f t="shared" si="5"/>
        <v>0</v>
      </c>
      <c r="S44" s="98">
        <f t="shared" si="6"/>
        <v>0</v>
      </c>
      <c r="T44" s="98">
        <f t="shared" si="7"/>
        <v>0</v>
      </c>
      <c r="U44" s="98">
        <f t="shared" si="8"/>
        <v>0</v>
      </c>
      <c r="V44" s="98">
        <f t="shared" si="9"/>
        <v>0</v>
      </c>
      <c r="W44" s="98">
        <f t="shared" si="10"/>
        <v>0</v>
      </c>
      <c r="X44" s="98">
        <f t="shared" si="11"/>
        <v>0</v>
      </c>
      <c r="Y44" s="104"/>
      <c r="Z44" s="105"/>
    </row>
    <row r="45" spans="1:26" ht="21" customHeight="1">
      <c r="A45" s="12"/>
      <c r="B45" s="14"/>
      <c r="C45" s="14"/>
      <c r="D45" s="102"/>
      <c r="E45" s="103" t="s">
        <v>623</v>
      </c>
      <c r="F45" s="26">
        <v>4822</v>
      </c>
      <c r="G45" s="98">
        <f t="shared" si="13"/>
        <v>18</v>
      </c>
      <c r="H45" s="45">
        <v>18</v>
      </c>
      <c r="I45" s="45"/>
      <c r="J45" s="98">
        <f t="shared" si="1"/>
        <v>1000</v>
      </c>
      <c r="K45" s="54">
        <v>1000</v>
      </c>
      <c r="L45" s="54"/>
      <c r="M45" s="98">
        <f t="shared" si="2"/>
        <v>500</v>
      </c>
      <c r="N45" s="45">
        <v>500</v>
      </c>
      <c r="O45" s="45"/>
      <c r="P45" s="98">
        <f t="shared" si="3"/>
        <v>-500</v>
      </c>
      <c r="Q45" s="98">
        <f t="shared" si="4"/>
        <v>-500</v>
      </c>
      <c r="R45" s="98">
        <f t="shared" si="5"/>
        <v>0</v>
      </c>
      <c r="S45" s="98">
        <f t="shared" si="6"/>
        <v>500</v>
      </c>
      <c r="T45" s="98">
        <f t="shared" si="7"/>
        <v>500</v>
      </c>
      <c r="U45" s="98">
        <f t="shared" si="8"/>
        <v>0</v>
      </c>
      <c r="V45" s="98">
        <f t="shared" si="9"/>
        <v>500</v>
      </c>
      <c r="W45" s="98">
        <f t="shared" si="10"/>
        <v>500</v>
      </c>
      <c r="X45" s="98">
        <f t="shared" si="11"/>
        <v>0</v>
      </c>
      <c r="Y45" s="104"/>
      <c r="Z45" s="105"/>
    </row>
    <row r="46" spans="1:26" ht="21" customHeight="1">
      <c r="A46" s="12"/>
      <c r="B46" s="14"/>
      <c r="C46" s="14"/>
      <c r="D46" s="102"/>
      <c r="E46" s="103" t="s">
        <v>500</v>
      </c>
      <c r="F46" s="26" t="s">
        <v>501</v>
      </c>
      <c r="G46" s="98">
        <f t="shared" si="13"/>
        <v>519</v>
      </c>
      <c r="H46" s="45">
        <f>43.4+8.1+444.3+19+3+1.2</f>
        <v>519</v>
      </c>
      <c r="I46" s="45"/>
      <c r="J46" s="98">
        <f t="shared" si="1"/>
        <v>6000</v>
      </c>
      <c r="K46" s="54">
        <v>6000</v>
      </c>
      <c r="L46" s="54"/>
      <c r="M46" s="98">
        <f t="shared" si="2"/>
        <v>2000</v>
      </c>
      <c r="N46" s="45">
        <v>2000</v>
      </c>
      <c r="O46" s="45"/>
      <c r="P46" s="98">
        <f t="shared" si="3"/>
        <v>-4000</v>
      </c>
      <c r="Q46" s="98">
        <f t="shared" si="4"/>
        <v>-4000</v>
      </c>
      <c r="R46" s="98">
        <f t="shared" si="5"/>
        <v>0</v>
      </c>
      <c r="S46" s="98">
        <f t="shared" si="6"/>
        <v>2000</v>
      </c>
      <c r="T46" s="98">
        <f t="shared" si="7"/>
        <v>2000</v>
      </c>
      <c r="U46" s="98">
        <f t="shared" si="8"/>
        <v>0</v>
      </c>
      <c r="V46" s="98">
        <f t="shared" si="9"/>
        <v>2000</v>
      </c>
      <c r="W46" s="98">
        <f t="shared" si="10"/>
        <v>2000</v>
      </c>
      <c r="X46" s="98">
        <f t="shared" si="11"/>
        <v>0</v>
      </c>
      <c r="Y46" s="104"/>
      <c r="Z46" s="105"/>
    </row>
    <row r="47" spans="1:26" ht="21" customHeight="1">
      <c r="A47" s="12"/>
      <c r="B47" s="14"/>
      <c r="C47" s="14"/>
      <c r="D47" s="102"/>
      <c r="E47" s="13" t="s">
        <v>521</v>
      </c>
      <c r="F47" s="26">
        <v>5112</v>
      </c>
      <c r="G47" s="98">
        <f t="shared" si="13"/>
        <v>353</v>
      </c>
      <c r="H47" s="45"/>
      <c r="I47" s="45">
        <v>353</v>
      </c>
      <c r="J47" s="98"/>
      <c r="K47" s="54"/>
      <c r="L47" s="54"/>
      <c r="M47" s="98"/>
      <c r="N47" s="45"/>
      <c r="O47" s="45"/>
      <c r="P47" s="98">
        <f t="shared" si="3"/>
        <v>0</v>
      </c>
      <c r="Q47" s="98">
        <f t="shared" si="4"/>
        <v>0</v>
      </c>
      <c r="R47" s="98">
        <f t="shared" si="5"/>
        <v>0</v>
      </c>
      <c r="S47" s="98">
        <f t="shared" si="6"/>
        <v>0</v>
      </c>
      <c r="T47" s="98">
        <f t="shared" si="7"/>
        <v>0</v>
      </c>
      <c r="U47" s="98">
        <f t="shared" si="8"/>
        <v>0</v>
      </c>
      <c r="V47" s="98">
        <f t="shared" si="9"/>
        <v>0</v>
      </c>
      <c r="W47" s="98">
        <f t="shared" si="10"/>
        <v>0</v>
      </c>
      <c r="X47" s="98">
        <f t="shared" si="11"/>
        <v>0</v>
      </c>
      <c r="Y47" s="104"/>
      <c r="Z47" s="105"/>
    </row>
    <row r="48" spans="1:26" ht="21" customHeight="1">
      <c r="A48" s="12"/>
      <c r="B48" s="14"/>
      <c r="C48" s="14"/>
      <c r="D48" s="102"/>
      <c r="E48" s="13" t="s">
        <v>523</v>
      </c>
      <c r="F48" s="26">
        <v>5113</v>
      </c>
      <c r="G48" s="98">
        <f t="shared" si="13"/>
        <v>4167.8</v>
      </c>
      <c r="H48" s="45"/>
      <c r="I48" s="45">
        <f>1725+2442.8</f>
        <v>4167.8</v>
      </c>
      <c r="J48" s="98">
        <f t="shared" si="1"/>
        <v>51866</v>
      </c>
      <c r="K48" s="54"/>
      <c r="L48" s="54">
        <v>51866</v>
      </c>
      <c r="M48" s="98">
        <f t="shared" si="2"/>
        <v>54000</v>
      </c>
      <c r="N48" s="45"/>
      <c r="O48" s="45">
        <v>54000</v>
      </c>
      <c r="P48" s="98">
        <f t="shared" si="3"/>
        <v>2134</v>
      </c>
      <c r="Q48" s="98">
        <f t="shared" si="4"/>
        <v>0</v>
      </c>
      <c r="R48" s="98">
        <f t="shared" si="5"/>
        <v>2134</v>
      </c>
      <c r="S48" s="98">
        <f t="shared" si="6"/>
        <v>54000</v>
      </c>
      <c r="T48" s="98">
        <f t="shared" si="7"/>
        <v>0</v>
      </c>
      <c r="U48" s="98">
        <f t="shared" si="8"/>
        <v>54000</v>
      </c>
      <c r="V48" s="98">
        <f t="shared" si="9"/>
        <v>54000</v>
      </c>
      <c r="W48" s="98">
        <f t="shared" si="10"/>
        <v>0</v>
      </c>
      <c r="X48" s="98">
        <f t="shared" si="11"/>
        <v>54000</v>
      </c>
      <c r="Y48" s="104"/>
      <c r="Z48" s="105"/>
    </row>
    <row r="49" spans="1:26" ht="21" customHeight="1">
      <c r="A49" s="12"/>
      <c r="B49" s="14"/>
      <c r="C49" s="14"/>
      <c r="D49" s="102"/>
      <c r="E49" s="13" t="s">
        <v>527</v>
      </c>
      <c r="F49" s="26">
        <v>5121</v>
      </c>
      <c r="G49" s="98">
        <f t="shared" si="13"/>
        <v>100</v>
      </c>
      <c r="H49" s="45"/>
      <c r="I49" s="45">
        <v>100</v>
      </c>
      <c r="J49" s="98"/>
      <c r="K49" s="54"/>
      <c r="L49" s="54"/>
      <c r="M49" s="98"/>
      <c r="N49" s="45"/>
      <c r="O49" s="45">
        <v>70000</v>
      </c>
      <c r="P49" s="98">
        <f t="shared" si="3"/>
        <v>0</v>
      </c>
      <c r="Q49" s="98">
        <f t="shared" si="4"/>
        <v>0</v>
      </c>
      <c r="R49" s="98">
        <f t="shared" si="5"/>
        <v>70000</v>
      </c>
      <c r="S49" s="98">
        <f t="shared" si="6"/>
        <v>0</v>
      </c>
      <c r="T49" s="98">
        <f t="shared" si="7"/>
        <v>0</v>
      </c>
      <c r="U49" s="98">
        <f t="shared" si="8"/>
        <v>70000</v>
      </c>
      <c r="V49" s="98">
        <f t="shared" si="9"/>
        <v>0</v>
      </c>
      <c r="W49" s="98">
        <f t="shared" si="10"/>
        <v>0</v>
      </c>
      <c r="X49" s="98">
        <f t="shared" si="11"/>
        <v>70000</v>
      </c>
      <c r="Y49" s="104"/>
      <c r="Z49" s="105"/>
    </row>
    <row r="50" spans="1:26" ht="21" customHeight="1">
      <c r="A50" s="12"/>
      <c r="B50" s="14"/>
      <c r="C50" s="14"/>
      <c r="D50" s="102"/>
      <c r="E50" s="103" t="s">
        <v>529</v>
      </c>
      <c r="F50" s="26" t="s">
        <v>528</v>
      </c>
      <c r="G50" s="98">
        <f t="shared" si="13"/>
        <v>27947.3</v>
      </c>
      <c r="H50" s="45"/>
      <c r="I50" s="45">
        <f>7478.2+2339.8+578+300+4397.5+216+1076.2+6719.9+90+4751.7</f>
        <v>27947.3</v>
      </c>
      <c r="J50" s="98">
        <f t="shared" si="1"/>
        <v>29376</v>
      </c>
      <c r="K50" s="54"/>
      <c r="L50" s="54">
        <v>29376</v>
      </c>
      <c r="M50" s="98">
        <f t="shared" si="2"/>
        <v>20000</v>
      </c>
      <c r="N50" s="45"/>
      <c r="O50" s="45">
        <v>20000</v>
      </c>
      <c r="P50" s="98">
        <f t="shared" si="3"/>
        <v>-9376</v>
      </c>
      <c r="Q50" s="98">
        <f t="shared" si="4"/>
        <v>0</v>
      </c>
      <c r="R50" s="98">
        <f t="shared" si="5"/>
        <v>-9376</v>
      </c>
      <c r="S50" s="98">
        <f t="shared" si="6"/>
        <v>20000</v>
      </c>
      <c r="T50" s="98">
        <f t="shared" si="7"/>
        <v>0</v>
      </c>
      <c r="U50" s="98">
        <f t="shared" si="8"/>
        <v>20000</v>
      </c>
      <c r="V50" s="98">
        <f t="shared" si="9"/>
        <v>20000</v>
      </c>
      <c r="W50" s="98">
        <f t="shared" si="10"/>
        <v>0</v>
      </c>
      <c r="X50" s="98">
        <f t="shared" si="11"/>
        <v>20000</v>
      </c>
      <c r="Y50" s="104"/>
      <c r="Z50" s="105"/>
    </row>
    <row r="51" spans="1:26" ht="21" customHeight="1">
      <c r="A51" s="12"/>
      <c r="B51" s="14"/>
      <c r="C51" s="14"/>
      <c r="D51" s="102"/>
      <c r="E51" s="13" t="s">
        <v>531</v>
      </c>
      <c r="F51" s="26">
        <v>5129</v>
      </c>
      <c r="G51" s="98">
        <f t="shared" si="13"/>
        <v>821.3</v>
      </c>
      <c r="H51" s="45"/>
      <c r="I51" s="45">
        <f>314+507.3</f>
        <v>821.3</v>
      </c>
      <c r="J51" s="98"/>
      <c r="K51" s="54"/>
      <c r="L51" s="54"/>
      <c r="M51" s="98"/>
      <c r="N51" s="45"/>
      <c r="O51" s="45"/>
      <c r="P51" s="98">
        <f t="shared" si="3"/>
        <v>0</v>
      </c>
      <c r="Q51" s="98">
        <f t="shared" si="4"/>
        <v>0</v>
      </c>
      <c r="R51" s="98">
        <f t="shared" si="5"/>
        <v>0</v>
      </c>
      <c r="S51" s="98">
        <f t="shared" si="6"/>
        <v>0</v>
      </c>
      <c r="T51" s="98">
        <f t="shared" si="7"/>
        <v>0</v>
      </c>
      <c r="U51" s="98">
        <f t="shared" si="8"/>
        <v>0</v>
      </c>
      <c r="V51" s="98">
        <f t="shared" si="9"/>
        <v>0</v>
      </c>
      <c r="W51" s="98">
        <f t="shared" si="10"/>
        <v>0</v>
      </c>
      <c r="X51" s="98">
        <f t="shared" si="11"/>
        <v>0</v>
      </c>
      <c r="Y51" s="104"/>
      <c r="Z51" s="105"/>
    </row>
    <row r="52" spans="1:26" ht="21" customHeight="1">
      <c r="A52" s="12"/>
      <c r="B52" s="14"/>
      <c r="C52" s="14"/>
      <c r="D52" s="102"/>
      <c r="E52" s="13" t="s">
        <v>536</v>
      </c>
      <c r="F52" s="26">
        <v>5132</v>
      </c>
      <c r="G52" s="98">
        <f t="shared" si="13"/>
        <v>384.7</v>
      </c>
      <c r="H52" s="45"/>
      <c r="I52" s="45">
        <v>384.7</v>
      </c>
      <c r="J52" s="98"/>
      <c r="K52" s="54"/>
      <c r="L52" s="54"/>
      <c r="M52" s="98"/>
      <c r="N52" s="45"/>
      <c r="O52" s="45"/>
      <c r="P52" s="98">
        <f t="shared" si="3"/>
        <v>0</v>
      </c>
      <c r="Q52" s="98">
        <f t="shared" si="4"/>
        <v>0</v>
      </c>
      <c r="R52" s="98">
        <f t="shared" si="5"/>
        <v>0</v>
      </c>
      <c r="S52" s="98">
        <f t="shared" si="6"/>
        <v>0</v>
      </c>
      <c r="T52" s="98">
        <f t="shared" si="7"/>
        <v>0</v>
      </c>
      <c r="U52" s="98">
        <f t="shared" si="8"/>
        <v>0</v>
      </c>
      <c r="V52" s="98">
        <f t="shared" si="9"/>
        <v>0</v>
      </c>
      <c r="W52" s="98">
        <f t="shared" si="10"/>
        <v>0</v>
      </c>
      <c r="X52" s="98">
        <f t="shared" si="11"/>
        <v>0</v>
      </c>
      <c r="Y52" s="104"/>
      <c r="Z52" s="105"/>
    </row>
    <row r="53" spans="1:26" ht="21" customHeight="1">
      <c r="A53" s="12"/>
      <c r="B53" s="14"/>
      <c r="C53" s="14"/>
      <c r="D53" s="102"/>
      <c r="E53" s="13" t="s">
        <v>538</v>
      </c>
      <c r="F53" s="26">
        <v>5134</v>
      </c>
      <c r="G53" s="98">
        <f t="shared" si="13"/>
        <v>590</v>
      </c>
      <c r="H53" s="45"/>
      <c r="I53" s="45">
        <f>386+54+150</f>
        <v>590</v>
      </c>
      <c r="J53" s="98">
        <f t="shared" si="1"/>
        <v>1613</v>
      </c>
      <c r="K53" s="54"/>
      <c r="L53" s="54">
        <v>1613</v>
      </c>
      <c r="M53" s="98">
        <f t="shared" si="2"/>
        <v>2754</v>
      </c>
      <c r="N53" s="45"/>
      <c r="O53" s="45">
        <v>2754</v>
      </c>
      <c r="P53" s="98">
        <f t="shared" si="3"/>
        <v>1141</v>
      </c>
      <c r="Q53" s="98">
        <f t="shared" si="4"/>
        <v>0</v>
      </c>
      <c r="R53" s="98">
        <f t="shared" si="5"/>
        <v>1141</v>
      </c>
      <c r="S53" s="98">
        <f t="shared" si="6"/>
        <v>2754</v>
      </c>
      <c r="T53" s="98">
        <f t="shared" si="7"/>
        <v>0</v>
      </c>
      <c r="U53" s="98">
        <f t="shared" si="8"/>
        <v>2754</v>
      </c>
      <c r="V53" s="98">
        <f t="shared" si="9"/>
        <v>2754</v>
      </c>
      <c r="W53" s="98">
        <f t="shared" si="10"/>
        <v>0</v>
      </c>
      <c r="X53" s="98">
        <f t="shared" si="11"/>
        <v>2754</v>
      </c>
      <c r="Y53" s="104"/>
      <c r="Z53" s="105"/>
    </row>
    <row r="54" spans="1:26" ht="29.25" customHeight="1">
      <c r="A54" s="12"/>
      <c r="B54" s="14"/>
      <c r="C54" s="14"/>
      <c r="D54" s="102"/>
      <c r="E54" s="106" t="s">
        <v>637</v>
      </c>
      <c r="F54" s="26"/>
      <c r="G54" s="98">
        <f t="shared" si="13"/>
        <v>0</v>
      </c>
      <c r="H54" s="54">
        <f aca="true" t="shared" si="14" ref="H54:X54">+H55</f>
        <v>0</v>
      </c>
      <c r="I54" s="54">
        <f t="shared" si="14"/>
        <v>0</v>
      </c>
      <c r="J54" s="98">
        <f t="shared" si="1"/>
        <v>2000</v>
      </c>
      <c r="K54" s="54">
        <f t="shared" si="14"/>
        <v>2000</v>
      </c>
      <c r="L54" s="54">
        <f t="shared" si="14"/>
        <v>0</v>
      </c>
      <c r="M54" s="98">
        <f t="shared" si="2"/>
        <v>22500</v>
      </c>
      <c r="N54" s="54">
        <f t="shared" si="14"/>
        <v>22500</v>
      </c>
      <c r="O54" s="54">
        <f t="shared" si="14"/>
        <v>0</v>
      </c>
      <c r="P54" s="98">
        <f t="shared" si="3"/>
        <v>20500</v>
      </c>
      <c r="Q54" s="98">
        <f t="shared" si="4"/>
        <v>20500</v>
      </c>
      <c r="R54" s="98">
        <f t="shared" si="5"/>
        <v>0</v>
      </c>
      <c r="S54" s="98">
        <f t="shared" si="6"/>
        <v>22500</v>
      </c>
      <c r="T54" s="98">
        <f t="shared" si="7"/>
        <v>22500</v>
      </c>
      <c r="U54" s="98">
        <f t="shared" si="8"/>
        <v>0</v>
      </c>
      <c r="V54" s="98">
        <f t="shared" si="9"/>
        <v>22500</v>
      </c>
      <c r="W54" s="98">
        <f t="shared" si="10"/>
        <v>22500</v>
      </c>
      <c r="X54" s="98">
        <f t="shared" si="11"/>
        <v>0</v>
      </c>
      <c r="Y54" s="104"/>
      <c r="Z54" s="105"/>
    </row>
    <row r="55" spans="1:26" ht="21" customHeight="1">
      <c r="A55" s="12"/>
      <c r="B55" s="14"/>
      <c r="C55" s="14"/>
      <c r="D55" s="102"/>
      <c r="E55" s="13" t="s">
        <v>638</v>
      </c>
      <c r="F55" s="26">
        <v>4115</v>
      </c>
      <c r="G55" s="98">
        <f t="shared" si="13"/>
        <v>0</v>
      </c>
      <c r="H55" s="45"/>
      <c r="I55" s="45"/>
      <c r="J55" s="98">
        <f t="shared" si="1"/>
        <v>2000</v>
      </c>
      <c r="K55" s="54">
        <v>2000</v>
      </c>
      <c r="L55" s="54"/>
      <c r="M55" s="98">
        <f t="shared" si="2"/>
        <v>22500</v>
      </c>
      <c r="N55" s="45">
        <v>22500</v>
      </c>
      <c r="O55" s="45"/>
      <c r="P55" s="98">
        <f t="shared" si="3"/>
        <v>20500</v>
      </c>
      <c r="Q55" s="98">
        <f t="shared" si="4"/>
        <v>20500</v>
      </c>
      <c r="R55" s="98">
        <f t="shared" si="5"/>
        <v>0</v>
      </c>
      <c r="S55" s="98">
        <f t="shared" si="6"/>
        <v>22500</v>
      </c>
      <c r="T55" s="98">
        <f t="shared" si="7"/>
        <v>22500</v>
      </c>
      <c r="U55" s="98">
        <f t="shared" si="8"/>
        <v>0</v>
      </c>
      <c r="V55" s="98">
        <f t="shared" si="9"/>
        <v>22500</v>
      </c>
      <c r="W55" s="98">
        <f t="shared" si="10"/>
        <v>22500</v>
      </c>
      <c r="X55" s="98">
        <f t="shared" si="11"/>
        <v>0</v>
      </c>
      <c r="Y55" s="104"/>
      <c r="Z55" s="105"/>
    </row>
    <row r="56" spans="1:26" s="101" customFormat="1" ht="21" customHeight="1">
      <c r="A56" s="10" t="s">
        <v>205</v>
      </c>
      <c r="B56" s="7" t="s">
        <v>193</v>
      </c>
      <c r="C56" s="7" t="s">
        <v>203</v>
      </c>
      <c r="D56" s="7" t="s">
        <v>194</v>
      </c>
      <c r="E56" s="106" t="s">
        <v>206</v>
      </c>
      <c r="F56" s="107"/>
      <c r="G56" s="98">
        <f t="shared" si="13"/>
        <v>14692.4</v>
      </c>
      <c r="H56" s="108">
        <f>+H58</f>
        <v>14692.4</v>
      </c>
      <c r="I56" s="108">
        <f>+I58</f>
        <v>0</v>
      </c>
      <c r="J56" s="98">
        <f t="shared" si="1"/>
        <v>31017.1</v>
      </c>
      <c r="K56" s="108">
        <f>+K58</f>
        <v>31017.1</v>
      </c>
      <c r="L56" s="108">
        <f>+L58</f>
        <v>0</v>
      </c>
      <c r="M56" s="98">
        <f t="shared" si="2"/>
        <v>13000</v>
      </c>
      <c r="N56" s="108">
        <f>+N58</f>
        <v>13000</v>
      </c>
      <c r="O56" s="108">
        <f>+O58</f>
        <v>0</v>
      </c>
      <c r="P56" s="98">
        <f t="shared" si="3"/>
        <v>-18017.1</v>
      </c>
      <c r="Q56" s="98">
        <f t="shared" si="4"/>
        <v>-18017.1</v>
      </c>
      <c r="R56" s="98">
        <f t="shared" si="5"/>
        <v>0</v>
      </c>
      <c r="S56" s="98">
        <f t="shared" si="6"/>
        <v>13000</v>
      </c>
      <c r="T56" s="98">
        <f t="shared" si="7"/>
        <v>13000</v>
      </c>
      <c r="U56" s="98">
        <f t="shared" si="8"/>
        <v>0</v>
      </c>
      <c r="V56" s="98">
        <f t="shared" si="9"/>
        <v>13000</v>
      </c>
      <c r="W56" s="98">
        <f t="shared" si="10"/>
        <v>13000</v>
      </c>
      <c r="X56" s="98">
        <f t="shared" si="11"/>
        <v>0</v>
      </c>
      <c r="Y56" s="99"/>
      <c r="Z56" s="100"/>
    </row>
    <row r="57" spans="1:26" ht="12.75" customHeight="1">
      <c r="A57" s="12"/>
      <c r="B57" s="14"/>
      <c r="C57" s="14"/>
      <c r="D57" s="102"/>
      <c r="E57" s="103" t="s">
        <v>199</v>
      </c>
      <c r="F57" s="102"/>
      <c r="G57" s="98">
        <f t="shared" si="13"/>
        <v>0</v>
      </c>
      <c r="H57" s="45"/>
      <c r="I57" s="45"/>
      <c r="J57" s="98">
        <f t="shared" si="1"/>
        <v>0</v>
      </c>
      <c r="K57" s="54"/>
      <c r="L57" s="54"/>
      <c r="M57" s="98">
        <f t="shared" si="2"/>
        <v>0</v>
      </c>
      <c r="N57" s="45"/>
      <c r="O57" s="45"/>
      <c r="P57" s="98">
        <f t="shared" si="3"/>
        <v>0</v>
      </c>
      <c r="Q57" s="98">
        <f t="shared" si="4"/>
        <v>0</v>
      </c>
      <c r="R57" s="98">
        <f t="shared" si="5"/>
        <v>0</v>
      </c>
      <c r="S57" s="98">
        <f t="shared" si="6"/>
        <v>0</v>
      </c>
      <c r="T57" s="98">
        <f t="shared" si="7"/>
        <v>0</v>
      </c>
      <c r="U57" s="98">
        <f t="shared" si="8"/>
        <v>0</v>
      </c>
      <c r="V57" s="98">
        <f t="shared" si="9"/>
        <v>0</v>
      </c>
      <c r="W57" s="98">
        <f t="shared" si="10"/>
        <v>0</v>
      </c>
      <c r="X57" s="98">
        <f t="shared" si="11"/>
        <v>0</v>
      </c>
      <c r="Y57" s="104"/>
      <c r="Z57" s="105"/>
    </row>
    <row r="58" spans="1:26" ht="12.75" customHeight="1">
      <c r="A58" s="25">
        <v>2133</v>
      </c>
      <c r="B58" s="26" t="s">
        <v>193</v>
      </c>
      <c r="C58" s="26" t="s">
        <v>203</v>
      </c>
      <c r="D58" s="26">
        <v>3</v>
      </c>
      <c r="E58" s="41" t="s">
        <v>627</v>
      </c>
      <c r="F58" s="26"/>
      <c r="G58" s="98">
        <f t="shared" si="13"/>
        <v>14692.4</v>
      </c>
      <c r="H58" s="54">
        <f>+H60+H63+H65+H69</f>
        <v>14692.4</v>
      </c>
      <c r="I58" s="54">
        <f>+I60+I63+I65</f>
        <v>0</v>
      </c>
      <c r="J58" s="98">
        <f t="shared" si="1"/>
        <v>31017.1</v>
      </c>
      <c r="K58" s="54">
        <f>+K60+K63+K65</f>
        <v>31017.1</v>
      </c>
      <c r="L58" s="54">
        <f>+L60+L63+L65</f>
        <v>0</v>
      </c>
      <c r="M58" s="98">
        <f t="shared" si="2"/>
        <v>13000</v>
      </c>
      <c r="N58" s="54">
        <f>+N60+N63+N65+N69</f>
        <v>13000</v>
      </c>
      <c r="O58" s="54">
        <f>+O60+O63+O65</f>
        <v>0</v>
      </c>
      <c r="P58" s="98">
        <f t="shared" si="3"/>
        <v>-18017.1</v>
      </c>
      <c r="Q58" s="98">
        <f t="shared" si="4"/>
        <v>-18017.1</v>
      </c>
      <c r="R58" s="98">
        <f t="shared" si="5"/>
        <v>0</v>
      </c>
      <c r="S58" s="98">
        <f t="shared" si="6"/>
        <v>13000</v>
      </c>
      <c r="T58" s="98">
        <f t="shared" si="7"/>
        <v>13000</v>
      </c>
      <c r="U58" s="98">
        <f t="shared" si="8"/>
        <v>0</v>
      </c>
      <c r="V58" s="98">
        <f t="shared" si="9"/>
        <v>13000</v>
      </c>
      <c r="W58" s="98">
        <f t="shared" si="10"/>
        <v>13000</v>
      </c>
      <c r="X58" s="98">
        <f t="shared" si="11"/>
        <v>0</v>
      </c>
      <c r="Y58" s="104"/>
      <c r="Z58" s="105"/>
    </row>
    <row r="59" spans="1:26" ht="12.75" customHeight="1">
      <c r="A59" s="12"/>
      <c r="B59" s="14"/>
      <c r="C59" s="14"/>
      <c r="D59" s="102"/>
      <c r="E59" s="103" t="s">
        <v>5</v>
      </c>
      <c r="F59" s="26"/>
      <c r="G59" s="98">
        <f t="shared" si="13"/>
        <v>0</v>
      </c>
      <c r="H59" s="45"/>
      <c r="I59" s="45"/>
      <c r="J59" s="98"/>
      <c r="K59" s="54"/>
      <c r="L59" s="54"/>
      <c r="M59" s="98">
        <f t="shared" si="2"/>
        <v>0</v>
      </c>
      <c r="N59" s="45"/>
      <c r="O59" s="45"/>
      <c r="P59" s="98">
        <f t="shared" si="3"/>
        <v>0</v>
      </c>
      <c r="Q59" s="98">
        <f t="shared" si="4"/>
        <v>0</v>
      </c>
      <c r="R59" s="98">
        <f t="shared" si="5"/>
        <v>0</v>
      </c>
      <c r="S59" s="98">
        <f t="shared" si="6"/>
        <v>0</v>
      </c>
      <c r="T59" s="98">
        <f t="shared" si="7"/>
        <v>0</v>
      </c>
      <c r="U59" s="98">
        <f t="shared" si="8"/>
        <v>0</v>
      </c>
      <c r="V59" s="98">
        <f t="shared" si="9"/>
        <v>0</v>
      </c>
      <c r="W59" s="98">
        <f t="shared" si="10"/>
        <v>0</v>
      </c>
      <c r="X59" s="98">
        <f t="shared" si="11"/>
        <v>0</v>
      </c>
      <c r="Y59" s="104"/>
      <c r="Z59" s="105"/>
    </row>
    <row r="60" spans="1:26" ht="12.75" customHeight="1">
      <c r="A60" s="12"/>
      <c r="B60" s="14"/>
      <c r="C60" s="14"/>
      <c r="D60" s="102"/>
      <c r="E60" s="106" t="s">
        <v>632</v>
      </c>
      <c r="F60" s="26"/>
      <c r="G60" s="98">
        <f t="shared" si="13"/>
        <v>0</v>
      </c>
      <c r="H60" s="54">
        <f>+H61+H62</f>
        <v>0</v>
      </c>
      <c r="I60" s="54">
        <f>+I61+I62</f>
        <v>0</v>
      </c>
      <c r="J60" s="98">
        <f t="shared" si="1"/>
        <v>20017.1</v>
      </c>
      <c r="K60" s="54">
        <f>+K61+K62</f>
        <v>20017.1</v>
      </c>
      <c r="L60" s="54">
        <f>+L61+L62</f>
        <v>0</v>
      </c>
      <c r="M60" s="98">
        <f t="shared" si="2"/>
        <v>2000</v>
      </c>
      <c r="N60" s="54">
        <f>+N61+N62</f>
        <v>2000</v>
      </c>
      <c r="O60" s="54">
        <f>+O61+O62</f>
        <v>0</v>
      </c>
      <c r="P60" s="98">
        <f t="shared" si="3"/>
        <v>-18017.1</v>
      </c>
      <c r="Q60" s="98">
        <f t="shared" si="4"/>
        <v>-18017.1</v>
      </c>
      <c r="R60" s="98">
        <f t="shared" si="5"/>
        <v>0</v>
      </c>
      <c r="S60" s="98">
        <f t="shared" si="6"/>
        <v>2000</v>
      </c>
      <c r="T60" s="98">
        <f t="shared" si="7"/>
        <v>2000</v>
      </c>
      <c r="U60" s="98">
        <f t="shared" si="8"/>
        <v>0</v>
      </c>
      <c r="V60" s="98">
        <f t="shared" si="9"/>
        <v>2000</v>
      </c>
      <c r="W60" s="98">
        <f t="shared" si="10"/>
        <v>2000</v>
      </c>
      <c r="X60" s="98">
        <f t="shared" si="11"/>
        <v>0</v>
      </c>
      <c r="Y60" s="104"/>
      <c r="Z60" s="105"/>
    </row>
    <row r="61" spans="1:26" ht="12.75" customHeight="1">
      <c r="A61" s="12"/>
      <c r="B61" s="14"/>
      <c r="C61" s="14"/>
      <c r="D61" s="102"/>
      <c r="E61" s="103" t="s">
        <v>633</v>
      </c>
      <c r="F61" s="26">
        <v>4211</v>
      </c>
      <c r="G61" s="98">
        <f t="shared" si="13"/>
        <v>0</v>
      </c>
      <c r="H61" s="45"/>
      <c r="I61" s="45"/>
      <c r="J61" s="98">
        <f t="shared" si="1"/>
        <v>17.1</v>
      </c>
      <c r="K61" s="54">
        <v>17.1</v>
      </c>
      <c r="L61" s="54"/>
      <c r="M61" s="98">
        <f t="shared" si="2"/>
        <v>0</v>
      </c>
      <c r="N61" s="45"/>
      <c r="O61" s="45"/>
      <c r="P61" s="98">
        <f t="shared" si="3"/>
        <v>-17.1</v>
      </c>
      <c r="Q61" s="98">
        <f t="shared" si="4"/>
        <v>-17.1</v>
      </c>
      <c r="R61" s="98">
        <f t="shared" si="5"/>
        <v>0</v>
      </c>
      <c r="S61" s="98">
        <f t="shared" si="6"/>
        <v>0</v>
      </c>
      <c r="T61" s="98">
        <f t="shared" si="7"/>
        <v>0</v>
      </c>
      <c r="U61" s="98">
        <f t="shared" si="8"/>
        <v>0</v>
      </c>
      <c r="V61" s="98">
        <f t="shared" si="9"/>
        <v>0</v>
      </c>
      <c r="W61" s="98">
        <f t="shared" si="10"/>
        <v>0</v>
      </c>
      <c r="X61" s="98">
        <f t="shared" si="11"/>
        <v>0</v>
      </c>
      <c r="Y61" s="104"/>
      <c r="Z61" s="105"/>
    </row>
    <row r="62" spans="1:26" ht="12.75" customHeight="1">
      <c r="A62" s="12"/>
      <c r="B62" s="14"/>
      <c r="C62" s="14"/>
      <c r="D62" s="102"/>
      <c r="E62" s="13" t="s">
        <v>416</v>
      </c>
      <c r="F62" s="26">
        <v>4235</v>
      </c>
      <c r="G62" s="98">
        <f t="shared" si="13"/>
        <v>0</v>
      </c>
      <c r="H62" s="45"/>
      <c r="I62" s="45"/>
      <c r="J62" s="98">
        <f t="shared" si="1"/>
        <v>20000</v>
      </c>
      <c r="K62" s="54">
        <v>20000</v>
      </c>
      <c r="L62" s="54"/>
      <c r="M62" s="98">
        <f t="shared" si="2"/>
        <v>2000</v>
      </c>
      <c r="N62" s="45">
        <v>2000</v>
      </c>
      <c r="O62" s="45"/>
      <c r="P62" s="98">
        <f t="shared" si="3"/>
        <v>-18000</v>
      </c>
      <c r="Q62" s="98">
        <f t="shared" si="4"/>
        <v>-18000</v>
      </c>
      <c r="R62" s="98">
        <f t="shared" si="5"/>
        <v>0</v>
      </c>
      <c r="S62" s="98">
        <f t="shared" si="6"/>
        <v>2000</v>
      </c>
      <c r="T62" s="98">
        <f t="shared" si="7"/>
        <v>2000</v>
      </c>
      <c r="U62" s="98">
        <f t="shared" si="8"/>
        <v>0</v>
      </c>
      <c r="V62" s="98">
        <f t="shared" si="9"/>
        <v>2000</v>
      </c>
      <c r="W62" s="98">
        <f t="shared" si="10"/>
        <v>2000</v>
      </c>
      <c r="X62" s="98">
        <f t="shared" si="11"/>
        <v>0</v>
      </c>
      <c r="Y62" s="104"/>
      <c r="Z62" s="105"/>
    </row>
    <row r="63" spans="1:26" ht="12.75" customHeight="1">
      <c r="A63" s="12"/>
      <c r="B63" s="14"/>
      <c r="C63" s="14"/>
      <c r="D63" s="102"/>
      <c r="E63" s="106" t="s">
        <v>656</v>
      </c>
      <c r="F63" s="26"/>
      <c r="G63" s="98">
        <f t="shared" si="13"/>
        <v>1101.1</v>
      </c>
      <c r="H63" s="54">
        <f aca="true" t="shared" si="15" ref="H63:X63">+H64</f>
        <v>1101.1</v>
      </c>
      <c r="I63" s="54">
        <f t="shared" si="15"/>
        <v>0</v>
      </c>
      <c r="J63" s="98">
        <f t="shared" si="1"/>
        <v>5000</v>
      </c>
      <c r="K63" s="54">
        <f t="shared" si="15"/>
        <v>5000</v>
      </c>
      <c r="L63" s="54">
        <f t="shared" si="15"/>
        <v>0</v>
      </c>
      <c r="M63" s="98">
        <f t="shared" si="2"/>
        <v>5000</v>
      </c>
      <c r="N63" s="54">
        <f t="shared" si="15"/>
        <v>5000</v>
      </c>
      <c r="O63" s="54">
        <f t="shared" si="15"/>
        <v>0</v>
      </c>
      <c r="P63" s="98">
        <f t="shared" si="3"/>
        <v>0</v>
      </c>
      <c r="Q63" s="98">
        <f t="shared" si="4"/>
        <v>0</v>
      </c>
      <c r="R63" s="98">
        <f t="shared" si="5"/>
        <v>0</v>
      </c>
      <c r="S63" s="98">
        <f t="shared" si="6"/>
        <v>5000</v>
      </c>
      <c r="T63" s="98">
        <f t="shared" si="7"/>
        <v>5000</v>
      </c>
      <c r="U63" s="98">
        <f t="shared" si="8"/>
        <v>0</v>
      </c>
      <c r="V63" s="98">
        <f t="shared" si="9"/>
        <v>5000</v>
      </c>
      <c r="W63" s="98">
        <f t="shared" si="10"/>
        <v>5000</v>
      </c>
      <c r="X63" s="98">
        <f t="shared" si="11"/>
        <v>0</v>
      </c>
      <c r="Y63" s="104"/>
      <c r="Z63" s="105"/>
    </row>
    <row r="64" spans="1:26" ht="12.75" customHeight="1">
      <c r="A64" s="12"/>
      <c r="B64" s="14"/>
      <c r="C64" s="14"/>
      <c r="D64" s="102"/>
      <c r="E64" s="13" t="s">
        <v>657</v>
      </c>
      <c r="F64" s="26">
        <v>4232</v>
      </c>
      <c r="G64" s="98">
        <f t="shared" si="13"/>
        <v>1101.1</v>
      </c>
      <c r="H64" s="45">
        <v>1101.1</v>
      </c>
      <c r="I64" s="45"/>
      <c r="J64" s="98">
        <f t="shared" si="1"/>
        <v>5000</v>
      </c>
      <c r="K64" s="54">
        <v>5000</v>
      </c>
      <c r="L64" s="54"/>
      <c r="M64" s="98">
        <f t="shared" si="2"/>
        <v>5000</v>
      </c>
      <c r="N64" s="45">
        <v>5000</v>
      </c>
      <c r="O64" s="45"/>
      <c r="P64" s="98">
        <f t="shared" si="3"/>
        <v>0</v>
      </c>
      <c r="Q64" s="98">
        <f t="shared" si="4"/>
        <v>0</v>
      </c>
      <c r="R64" s="98">
        <f t="shared" si="5"/>
        <v>0</v>
      </c>
      <c r="S64" s="98">
        <f t="shared" si="6"/>
        <v>5000</v>
      </c>
      <c r="T64" s="98">
        <f t="shared" si="7"/>
        <v>5000</v>
      </c>
      <c r="U64" s="98">
        <f t="shared" si="8"/>
        <v>0</v>
      </c>
      <c r="V64" s="98">
        <f t="shared" si="9"/>
        <v>5000</v>
      </c>
      <c r="W64" s="98">
        <f t="shared" si="10"/>
        <v>5000</v>
      </c>
      <c r="X64" s="98">
        <f t="shared" si="11"/>
        <v>0</v>
      </c>
      <c r="Y64" s="104"/>
      <c r="Z64" s="105"/>
    </row>
    <row r="65" spans="1:26" ht="45" customHeight="1">
      <c r="A65" s="12"/>
      <c r="B65" s="14"/>
      <c r="C65" s="14"/>
      <c r="D65" s="102"/>
      <c r="E65" s="106" t="s">
        <v>675</v>
      </c>
      <c r="F65" s="26"/>
      <c r="G65" s="98">
        <f t="shared" si="13"/>
        <v>5561.4</v>
      </c>
      <c r="H65" s="54">
        <f>+H66+H67+H68</f>
        <v>5561.4</v>
      </c>
      <c r="I65" s="54">
        <f>+I66+I67+I68</f>
        <v>0</v>
      </c>
      <c r="J65" s="98">
        <f t="shared" si="1"/>
        <v>6000</v>
      </c>
      <c r="K65" s="54">
        <f>+K66+K67+K68</f>
        <v>6000</v>
      </c>
      <c r="L65" s="54">
        <f>+L66+L67+L68</f>
        <v>0</v>
      </c>
      <c r="M65" s="98">
        <f t="shared" si="2"/>
        <v>6000</v>
      </c>
      <c r="N65" s="54">
        <f>+N66+N67+N68</f>
        <v>6000</v>
      </c>
      <c r="O65" s="54">
        <f>+O66+O67+O68</f>
        <v>0</v>
      </c>
      <c r="P65" s="98">
        <f t="shared" si="3"/>
        <v>0</v>
      </c>
      <c r="Q65" s="98">
        <f t="shared" si="4"/>
        <v>0</v>
      </c>
      <c r="R65" s="98">
        <f t="shared" si="5"/>
        <v>0</v>
      </c>
      <c r="S65" s="98">
        <f t="shared" si="6"/>
        <v>6000</v>
      </c>
      <c r="T65" s="98">
        <f t="shared" si="7"/>
        <v>6000</v>
      </c>
      <c r="U65" s="98">
        <f t="shared" si="8"/>
        <v>0</v>
      </c>
      <c r="V65" s="98">
        <f t="shared" si="9"/>
        <v>6000</v>
      </c>
      <c r="W65" s="98">
        <f t="shared" si="10"/>
        <v>6000</v>
      </c>
      <c r="X65" s="98">
        <f t="shared" si="11"/>
        <v>0</v>
      </c>
      <c r="Y65" s="104"/>
      <c r="Z65" s="105"/>
    </row>
    <row r="66" spans="1:26" ht="12.75" customHeight="1">
      <c r="A66" s="12"/>
      <c r="B66" s="14"/>
      <c r="C66" s="14"/>
      <c r="D66" s="102"/>
      <c r="E66" s="103" t="s">
        <v>382</v>
      </c>
      <c r="F66" s="26">
        <v>4111</v>
      </c>
      <c r="G66" s="98">
        <f t="shared" si="13"/>
        <v>4859.4</v>
      </c>
      <c r="H66" s="45">
        <v>4859.4</v>
      </c>
      <c r="I66" s="45"/>
      <c r="J66" s="98">
        <f t="shared" si="1"/>
        <v>5200</v>
      </c>
      <c r="K66" s="54">
        <v>5200</v>
      </c>
      <c r="L66" s="54"/>
      <c r="M66" s="98">
        <f t="shared" si="2"/>
        <v>5700</v>
      </c>
      <c r="N66" s="45">
        <v>5700</v>
      </c>
      <c r="O66" s="45"/>
      <c r="P66" s="98">
        <f t="shared" si="3"/>
        <v>500</v>
      </c>
      <c r="Q66" s="98">
        <f t="shared" si="4"/>
        <v>500</v>
      </c>
      <c r="R66" s="98">
        <f t="shared" si="5"/>
        <v>0</v>
      </c>
      <c r="S66" s="98">
        <f t="shared" si="6"/>
        <v>5700</v>
      </c>
      <c r="T66" s="98">
        <f t="shared" si="7"/>
        <v>5700</v>
      </c>
      <c r="U66" s="98">
        <f t="shared" si="8"/>
        <v>0</v>
      </c>
      <c r="V66" s="98">
        <f t="shared" si="9"/>
        <v>5700</v>
      </c>
      <c r="W66" s="98">
        <f t="shared" si="10"/>
        <v>5700</v>
      </c>
      <c r="X66" s="98">
        <f t="shared" si="11"/>
        <v>0</v>
      </c>
      <c r="Y66" s="104"/>
      <c r="Z66" s="105"/>
    </row>
    <row r="67" spans="1:26" ht="12.75" customHeight="1">
      <c r="A67" s="12"/>
      <c r="B67" s="14"/>
      <c r="C67" s="14"/>
      <c r="D67" s="102"/>
      <c r="E67" s="103" t="s">
        <v>394</v>
      </c>
      <c r="F67" s="26">
        <v>4214</v>
      </c>
      <c r="G67" s="98">
        <f t="shared" si="13"/>
        <v>44</v>
      </c>
      <c r="H67" s="45">
        <v>44</v>
      </c>
      <c r="I67" s="45"/>
      <c r="J67" s="98">
        <f t="shared" si="1"/>
        <v>50</v>
      </c>
      <c r="K67" s="54">
        <v>50</v>
      </c>
      <c r="L67" s="54"/>
      <c r="M67" s="98">
        <f t="shared" si="2"/>
        <v>100</v>
      </c>
      <c r="N67" s="45">
        <v>100</v>
      </c>
      <c r="O67" s="45"/>
      <c r="P67" s="98">
        <f t="shared" si="3"/>
        <v>50</v>
      </c>
      <c r="Q67" s="98">
        <f t="shared" si="4"/>
        <v>50</v>
      </c>
      <c r="R67" s="98">
        <f t="shared" si="5"/>
        <v>0</v>
      </c>
      <c r="S67" s="98">
        <f t="shared" si="6"/>
        <v>100</v>
      </c>
      <c r="T67" s="98">
        <f t="shared" si="7"/>
        <v>100</v>
      </c>
      <c r="U67" s="98">
        <f t="shared" si="8"/>
        <v>0</v>
      </c>
      <c r="V67" s="98">
        <f t="shared" si="9"/>
        <v>100</v>
      </c>
      <c r="W67" s="98">
        <f t="shared" si="10"/>
        <v>100</v>
      </c>
      <c r="X67" s="98">
        <f t="shared" si="11"/>
        <v>0</v>
      </c>
      <c r="Y67" s="104"/>
      <c r="Z67" s="105"/>
    </row>
    <row r="68" spans="1:26" ht="12.75" customHeight="1">
      <c r="A68" s="12"/>
      <c r="B68" s="14"/>
      <c r="C68" s="14"/>
      <c r="D68" s="102"/>
      <c r="E68" s="103" t="s">
        <v>435</v>
      </c>
      <c r="F68" s="26">
        <v>4261</v>
      </c>
      <c r="G68" s="98">
        <f t="shared" si="13"/>
        <v>658</v>
      </c>
      <c r="H68" s="45">
        <v>658</v>
      </c>
      <c r="I68" s="45"/>
      <c r="J68" s="98">
        <f t="shared" si="1"/>
        <v>750</v>
      </c>
      <c r="K68" s="54">
        <v>750</v>
      </c>
      <c r="L68" s="54"/>
      <c r="M68" s="98">
        <f t="shared" si="2"/>
        <v>200</v>
      </c>
      <c r="N68" s="45">
        <v>200</v>
      </c>
      <c r="O68" s="45"/>
      <c r="P68" s="98">
        <f t="shared" si="3"/>
        <v>-550</v>
      </c>
      <c r="Q68" s="98">
        <f t="shared" si="4"/>
        <v>-550</v>
      </c>
      <c r="R68" s="98">
        <f t="shared" si="5"/>
        <v>0</v>
      </c>
      <c r="S68" s="98">
        <f t="shared" si="6"/>
        <v>200</v>
      </c>
      <c r="T68" s="98">
        <f t="shared" si="7"/>
        <v>200</v>
      </c>
      <c r="U68" s="98">
        <f t="shared" si="8"/>
        <v>0</v>
      </c>
      <c r="V68" s="98">
        <f t="shared" si="9"/>
        <v>200</v>
      </c>
      <c r="W68" s="98">
        <f t="shared" si="10"/>
        <v>200</v>
      </c>
      <c r="X68" s="98">
        <f t="shared" si="11"/>
        <v>0</v>
      </c>
      <c r="Y68" s="104"/>
      <c r="Z68" s="105"/>
    </row>
    <row r="69" spans="1:26" ht="12.75" customHeight="1">
      <c r="A69" s="12"/>
      <c r="B69" s="14"/>
      <c r="C69" s="14"/>
      <c r="D69" s="102"/>
      <c r="E69" s="103" t="s">
        <v>735</v>
      </c>
      <c r="F69" s="26"/>
      <c r="G69" s="98">
        <f t="shared" si="13"/>
        <v>8029.9</v>
      </c>
      <c r="H69" s="45">
        <f>+H70</f>
        <v>8029.9</v>
      </c>
      <c r="I69" s="45"/>
      <c r="J69" s="98"/>
      <c r="K69" s="54"/>
      <c r="L69" s="54"/>
      <c r="M69" s="98"/>
      <c r="N69" s="45">
        <f>+N70</f>
        <v>0</v>
      </c>
      <c r="O69" s="45"/>
      <c r="P69" s="98">
        <f t="shared" si="3"/>
        <v>0</v>
      </c>
      <c r="Q69" s="98">
        <f t="shared" si="4"/>
        <v>0</v>
      </c>
      <c r="R69" s="98">
        <f t="shared" si="5"/>
        <v>0</v>
      </c>
      <c r="S69" s="98">
        <f t="shared" si="6"/>
        <v>0</v>
      </c>
      <c r="T69" s="98">
        <f t="shared" si="7"/>
        <v>0</v>
      </c>
      <c r="U69" s="98">
        <f t="shared" si="8"/>
        <v>0</v>
      </c>
      <c r="V69" s="98">
        <f t="shared" si="9"/>
        <v>0</v>
      </c>
      <c r="W69" s="98">
        <f t="shared" si="10"/>
        <v>0</v>
      </c>
      <c r="X69" s="98">
        <f t="shared" si="11"/>
        <v>0</v>
      </c>
      <c r="Y69" s="104"/>
      <c r="Z69" s="105"/>
    </row>
    <row r="70" spans="1:26" ht="12.75" customHeight="1">
      <c r="A70" s="12"/>
      <c r="B70" s="14"/>
      <c r="C70" s="14"/>
      <c r="D70" s="102"/>
      <c r="E70" s="103" t="s">
        <v>420</v>
      </c>
      <c r="F70" s="26">
        <v>4239</v>
      </c>
      <c r="G70" s="98">
        <f t="shared" si="13"/>
        <v>8029.9</v>
      </c>
      <c r="H70" s="45">
        <v>8029.9</v>
      </c>
      <c r="I70" s="45"/>
      <c r="J70" s="98"/>
      <c r="K70" s="54"/>
      <c r="L70" s="54"/>
      <c r="M70" s="98"/>
      <c r="N70" s="45"/>
      <c r="O70" s="45"/>
      <c r="P70" s="98">
        <f t="shared" si="3"/>
        <v>0</v>
      </c>
      <c r="Q70" s="98">
        <f t="shared" si="4"/>
        <v>0</v>
      </c>
      <c r="R70" s="98">
        <f t="shared" si="5"/>
        <v>0</v>
      </c>
      <c r="S70" s="98">
        <f t="shared" si="6"/>
        <v>0</v>
      </c>
      <c r="T70" s="98">
        <f t="shared" si="7"/>
        <v>0</v>
      </c>
      <c r="U70" s="98">
        <f t="shared" si="8"/>
        <v>0</v>
      </c>
      <c r="V70" s="98">
        <f t="shared" si="9"/>
        <v>0</v>
      </c>
      <c r="W70" s="98">
        <f t="shared" si="10"/>
        <v>0</v>
      </c>
      <c r="X70" s="98">
        <f t="shared" si="11"/>
        <v>0</v>
      </c>
      <c r="Y70" s="104"/>
      <c r="Z70" s="105"/>
    </row>
    <row r="71" spans="1:26" ht="24.75" customHeight="1">
      <c r="A71" s="25" t="s">
        <v>213</v>
      </c>
      <c r="B71" s="26" t="s">
        <v>193</v>
      </c>
      <c r="C71" s="26" t="s">
        <v>214</v>
      </c>
      <c r="D71" s="26" t="s">
        <v>194</v>
      </c>
      <c r="E71" s="112" t="s">
        <v>215</v>
      </c>
      <c r="F71" s="113"/>
      <c r="G71" s="98">
        <f t="shared" si="13"/>
        <v>46754.200000000004</v>
      </c>
      <c r="H71" s="114">
        <f>+H73</f>
        <v>23493.9</v>
      </c>
      <c r="I71" s="114">
        <f>+I73</f>
        <v>23260.300000000003</v>
      </c>
      <c r="J71" s="98">
        <f t="shared" si="1"/>
        <v>135022.19999999998</v>
      </c>
      <c r="K71" s="114">
        <f>+K73</f>
        <v>64020.9</v>
      </c>
      <c r="L71" s="114">
        <f>+L73</f>
        <v>71001.29999999999</v>
      </c>
      <c r="M71" s="98">
        <f t="shared" si="2"/>
        <v>248120</v>
      </c>
      <c r="N71" s="114">
        <f>+N73</f>
        <v>50000</v>
      </c>
      <c r="O71" s="114">
        <f>+O73</f>
        <v>198120</v>
      </c>
      <c r="P71" s="98">
        <f t="shared" si="3"/>
        <v>113097.80000000002</v>
      </c>
      <c r="Q71" s="98">
        <f t="shared" si="4"/>
        <v>-14020.900000000001</v>
      </c>
      <c r="R71" s="98">
        <f t="shared" si="5"/>
        <v>127118.70000000001</v>
      </c>
      <c r="S71" s="98">
        <f t="shared" si="6"/>
        <v>248120</v>
      </c>
      <c r="T71" s="98">
        <f t="shared" si="7"/>
        <v>50000</v>
      </c>
      <c r="U71" s="98">
        <f t="shared" si="8"/>
        <v>198120</v>
      </c>
      <c r="V71" s="98">
        <f t="shared" si="9"/>
        <v>248120</v>
      </c>
      <c r="W71" s="98">
        <f t="shared" si="10"/>
        <v>50000</v>
      </c>
      <c r="X71" s="98">
        <f t="shared" si="11"/>
        <v>198120</v>
      </c>
      <c r="Y71" s="104"/>
      <c r="Z71" s="105"/>
    </row>
    <row r="72" spans="1:26" ht="12.75" customHeight="1">
      <c r="A72" s="12"/>
      <c r="B72" s="14"/>
      <c r="C72" s="14"/>
      <c r="D72" s="102"/>
      <c r="E72" s="103" t="s">
        <v>199</v>
      </c>
      <c r="F72" s="102"/>
      <c r="G72" s="98">
        <f t="shared" si="13"/>
        <v>0</v>
      </c>
      <c r="H72" s="45"/>
      <c r="I72" s="45"/>
      <c r="J72" s="98">
        <f t="shared" si="1"/>
        <v>0</v>
      </c>
      <c r="K72" s="54"/>
      <c r="L72" s="54"/>
      <c r="M72" s="98">
        <f t="shared" si="2"/>
        <v>0</v>
      </c>
      <c r="N72" s="45"/>
      <c r="O72" s="45"/>
      <c r="P72" s="98">
        <f t="shared" si="3"/>
        <v>0</v>
      </c>
      <c r="Q72" s="98">
        <f t="shared" si="4"/>
        <v>0</v>
      </c>
      <c r="R72" s="98">
        <f t="shared" si="5"/>
        <v>0</v>
      </c>
      <c r="S72" s="98">
        <f t="shared" si="6"/>
        <v>0</v>
      </c>
      <c r="T72" s="98">
        <f t="shared" si="7"/>
        <v>0</v>
      </c>
      <c r="U72" s="98">
        <f t="shared" si="8"/>
        <v>0</v>
      </c>
      <c r="V72" s="98">
        <f t="shared" si="9"/>
        <v>0</v>
      </c>
      <c r="W72" s="98">
        <f t="shared" si="10"/>
        <v>0</v>
      </c>
      <c r="X72" s="98">
        <f t="shared" si="11"/>
        <v>0</v>
      </c>
      <c r="Y72" s="104"/>
      <c r="Z72" s="105"/>
    </row>
    <row r="73" spans="1:26" s="101" customFormat="1" ht="33" customHeight="1">
      <c r="A73" s="10" t="s">
        <v>216</v>
      </c>
      <c r="B73" s="7" t="s">
        <v>193</v>
      </c>
      <c r="C73" s="7" t="s">
        <v>214</v>
      </c>
      <c r="D73" s="7" t="s">
        <v>197</v>
      </c>
      <c r="E73" s="109" t="s">
        <v>215</v>
      </c>
      <c r="F73" s="82"/>
      <c r="G73" s="98">
        <f t="shared" si="13"/>
        <v>46754.200000000004</v>
      </c>
      <c r="H73" s="51">
        <f>+H75+H77+H80+H82+H84+H86</f>
        <v>23493.9</v>
      </c>
      <c r="I73" s="51">
        <f>+I75+I77+I80+I82+I84+I86</f>
        <v>23260.300000000003</v>
      </c>
      <c r="J73" s="98">
        <f t="shared" si="1"/>
        <v>135022.19999999998</v>
      </c>
      <c r="K73" s="51">
        <f>+K75+K77+K80+K82+K84+K86</f>
        <v>64020.9</v>
      </c>
      <c r="L73" s="51">
        <f>+L75+L77+L80+L82+L84+L86</f>
        <v>71001.29999999999</v>
      </c>
      <c r="M73" s="98">
        <f t="shared" si="2"/>
        <v>248120</v>
      </c>
      <c r="N73" s="51">
        <f>+N75+N77+N80+N82+N84+N86</f>
        <v>50000</v>
      </c>
      <c r="O73" s="51">
        <f>+O75+O77+O80+O82+O84+O86</f>
        <v>198120</v>
      </c>
      <c r="P73" s="98">
        <f t="shared" si="3"/>
        <v>113097.80000000002</v>
      </c>
      <c r="Q73" s="98">
        <f t="shared" si="4"/>
        <v>-14020.900000000001</v>
      </c>
      <c r="R73" s="98">
        <f t="shared" si="5"/>
        <v>127118.70000000001</v>
      </c>
      <c r="S73" s="98">
        <f t="shared" si="6"/>
        <v>248120</v>
      </c>
      <c r="T73" s="98">
        <f t="shared" si="7"/>
        <v>50000</v>
      </c>
      <c r="U73" s="98">
        <f t="shared" si="8"/>
        <v>198120</v>
      </c>
      <c r="V73" s="98">
        <f t="shared" si="9"/>
        <v>248120</v>
      </c>
      <c r="W73" s="98">
        <f t="shared" si="10"/>
        <v>50000</v>
      </c>
      <c r="X73" s="98">
        <f t="shared" si="11"/>
        <v>198120</v>
      </c>
      <c r="Y73" s="99"/>
      <c r="Z73" s="100"/>
    </row>
    <row r="74" spans="1:26" ht="19.5" customHeight="1">
      <c r="A74" s="12"/>
      <c r="B74" s="14"/>
      <c r="C74" s="14"/>
      <c r="D74" s="102"/>
      <c r="E74" s="103" t="s">
        <v>5</v>
      </c>
      <c r="F74" s="102"/>
      <c r="G74" s="98">
        <f t="shared" si="13"/>
        <v>0</v>
      </c>
      <c r="H74" s="45"/>
      <c r="I74" s="45"/>
      <c r="J74" s="98">
        <f t="shared" si="1"/>
        <v>0</v>
      </c>
      <c r="K74" s="54"/>
      <c r="L74" s="54"/>
      <c r="M74" s="98">
        <f t="shared" si="2"/>
        <v>0</v>
      </c>
      <c r="N74" s="45"/>
      <c r="O74" s="45"/>
      <c r="P74" s="98">
        <f t="shared" si="3"/>
        <v>0</v>
      </c>
      <c r="Q74" s="98">
        <f t="shared" si="4"/>
        <v>0</v>
      </c>
      <c r="R74" s="98">
        <f t="shared" si="5"/>
        <v>0</v>
      </c>
      <c r="S74" s="98">
        <f t="shared" si="6"/>
        <v>0</v>
      </c>
      <c r="T74" s="98">
        <f t="shared" si="7"/>
        <v>0</v>
      </c>
      <c r="U74" s="98">
        <f t="shared" si="8"/>
        <v>0</v>
      </c>
      <c r="V74" s="98">
        <f t="shared" si="9"/>
        <v>0</v>
      </c>
      <c r="W74" s="98">
        <f t="shared" si="10"/>
        <v>0</v>
      </c>
      <c r="X74" s="98">
        <f t="shared" si="11"/>
        <v>0</v>
      </c>
      <c r="Y74" s="104"/>
      <c r="Z74" s="105"/>
    </row>
    <row r="75" spans="1:26" ht="49.5" customHeight="1">
      <c r="A75" s="12"/>
      <c r="B75" s="14"/>
      <c r="C75" s="14"/>
      <c r="D75" s="102"/>
      <c r="E75" s="112" t="s">
        <v>594</v>
      </c>
      <c r="F75" s="115"/>
      <c r="G75" s="98">
        <f t="shared" si="13"/>
        <v>443.8</v>
      </c>
      <c r="H75" s="116">
        <f aca="true" t="shared" si="16" ref="H75:X75">+H76</f>
        <v>443.8</v>
      </c>
      <c r="I75" s="116">
        <f t="shared" si="16"/>
        <v>0</v>
      </c>
      <c r="J75" s="98">
        <f t="shared" si="1"/>
        <v>7000</v>
      </c>
      <c r="K75" s="116">
        <f t="shared" si="16"/>
        <v>7000</v>
      </c>
      <c r="L75" s="116">
        <f t="shared" si="16"/>
        <v>0</v>
      </c>
      <c r="M75" s="98">
        <f t="shared" si="2"/>
        <v>0</v>
      </c>
      <c r="N75" s="116">
        <f t="shared" si="16"/>
        <v>0</v>
      </c>
      <c r="O75" s="116">
        <f t="shared" si="16"/>
        <v>0</v>
      </c>
      <c r="P75" s="98">
        <f aca="true" t="shared" si="17" ref="P75:P138">+M75-J75</f>
        <v>-7000</v>
      </c>
      <c r="Q75" s="98">
        <f aca="true" t="shared" si="18" ref="Q75:Q138">+N75-K75</f>
        <v>-7000</v>
      </c>
      <c r="R75" s="98">
        <f aca="true" t="shared" si="19" ref="R75:R138">+O75-L75</f>
        <v>0</v>
      </c>
      <c r="S75" s="98">
        <f aca="true" t="shared" si="20" ref="S75:S138">+M75</f>
        <v>0</v>
      </c>
      <c r="T75" s="98">
        <f aca="true" t="shared" si="21" ref="T75:T138">+N75</f>
        <v>0</v>
      </c>
      <c r="U75" s="98">
        <f aca="true" t="shared" si="22" ref="U75:U138">+O75</f>
        <v>0</v>
      </c>
      <c r="V75" s="98">
        <f aca="true" t="shared" si="23" ref="V75:V138">+M75</f>
        <v>0</v>
      </c>
      <c r="W75" s="98">
        <f aca="true" t="shared" si="24" ref="W75:W138">+N75</f>
        <v>0</v>
      </c>
      <c r="X75" s="98">
        <f aca="true" t="shared" si="25" ref="X75:X138">+O75</f>
        <v>0</v>
      </c>
      <c r="Y75" s="104"/>
      <c r="Z75" s="105"/>
    </row>
    <row r="76" spans="1:26" s="101" customFormat="1" ht="21" customHeight="1">
      <c r="A76" s="5"/>
      <c r="B76" s="6"/>
      <c r="C76" s="6"/>
      <c r="D76" s="82"/>
      <c r="E76" s="109" t="s">
        <v>500</v>
      </c>
      <c r="F76" s="7" t="s">
        <v>501</v>
      </c>
      <c r="G76" s="98">
        <f t="shared" si="13"/>
        <v>443.8</v>
      </c>
      <c r="H76" s="45">
        <v>443.8</v>
      </c>
      <c r="I76" s="45"/>
      <c r="J76" s="98">
        <f t="shared" si="1"/>
        <v>7000</v>
      </c>
      <c r="K76" s="51">
        <v>7000</v>
      </c>
      <c r="L76" s="51"/>
      <c r="M76" s="98">
        <f t="shared" si="2"/>
        <v>0</v>
      </c>
      <c r="N76" s="45"/>
      <c r="O76" s="45"/>
      <c r="P76" s="98">
        <f t="shared" si="17"/>
        <v>-7000</v>
      </c>
      <c r="Q76" s="98">
        <f t="shared" si="18"/>
        <v>-7000</v>
      </c>
      <c r="R76" s="98">
        <f t="shared" si="19"/>
        <v>0</v>
      </c>
      <c r="S76" s="98">
        <f t="shared" si="20"/>
        <v>0</v>
      </c>
      <c r="T76" s="98">
        <f t="shared" si="21"/>
        <v>0</v>
      </c>
      <c r="U76" s="98">
        <f t="shared" si="22"/>
        <v>0</v>
      </c>
      <c r="V76" s="98">
        <f t="shared" si="23"/>
        <v>0</v>
      </c>
      <c r="W76" s="98">
        <f t="shared" si="24"/>
        <v>0</v>
      </c>
      <c r="X76" s="98">
        <f t="shared" si="25"/>
        <v>0</v>
      </c>
      <c r="Y76" s="99"/>
      <c r="Z76" s="100"/>
    </row>
    <row r="77" spans="1:26" ht="36.75" customHeight="1">
      <c r="A77" s="12"/>
      <c r="B77" s="14"/>
      <c r="C77" s="14"/>
      <c r="D77" s="102"/>
      <c r="E77" s="112" t="s">
        <v>595</v>
      </c>
      <c r="F77" s="115"/>
      <c r="G77" s="98">
        <f t="shared" si="13"/>
        <v>8202.2</v>
      </c>
      <c r="H77" s="116">
        <f>+H78+H79</f>
        <v>8202.2</v>
      </c>
      <c r="I77" s="116">
        <f>+I78+I79</f>
        <v>0</v>
      </c>
      <c r="J77" s="98">
        <f t="shared" si="1"/>
        <v>25000</v>
      </c>
      <c r="K77" s="116">
        <f>+K78+K79</f>
        <v>25000</v>
      </c>
      <c r="L77" s="116">
        <f>+L78+L79</f>
        <v>0</v>
      </c>
      <c r="M77" s="98">
        <f t="shared" si="2"/>
        <v>27000</v>
      </c>
      <c r="N77" s="116">
        <f>+N78+N79</f>
        <v>27000</v>
      </c>
      <c r="O77" s="116">
        <f>+O78+O79</f>
        <v>0</v>
      </c>
      <c r="P77" s="98">
        <f t="shared" si="17"/>
        <v>2000</v>
      </c>
      <c r="Q77" s="98">
        <f t="shared" si="18"/>
        <v>2000</v>
      </c>
      <c r="R77" s="98">
        <f t="shared" si="19"/>
        <v>0</v>
      </c>
      <c r="S77" s="98">
        <f t="shared" si="20"/>
        <v>27000</v>
      </c>
      <c r="T77" s="98">
        <f t="shared" si="21"/>
        <v>27000</v>
      </c>
      <c r="U77" s="98">
        <f t="shared" si="22"/>
        <v>0</v>
      </c>
      <c r="V77" s="98">
        <f t="shared" si="23"/>
        <v>27000</v>
      </c>
      <c r="W77" s="98">
        <f t="shared" si="24"/>
        <v>27000</v>
      </c>
      <c r="X77" s="98">
        <f t="shared" si="25"/>
        <v>0</v>
      </c>
      <c r="Y77" s="104"/>
      <c r="Z77" s="105"/>
    </row>
    <row r="78" spans="1:26" s="101" customFormat="1" ht="15.75" customHeight="1">
      <c r="A78" s="5"/>
      <c r="B78" s="6"/>
      <c r="C78" s="6"/>
      <c r="D78" s="82"/>
      <c r="E78" s="109" t="s">
        <v>425</v>
      </c>
      <c r="F78" s="7" t="s">
        <v>424</v>
      </c>
      <c r="G78" s="98">
        <f t="shared" si="13"/>
        <v>3850</v>
      </c>
      <c r="H78" s="45">
        <v>3850</v>
      </c>
      <c r="I78" s="45"/>
      <c r="J78" s="98">
        <f t="shared" si="1"/>
        <v>15000</v>
      </c>
      <c r="K78" s="51">
        <v>15000</v>
      </c>
      <c r="L78" s="51"/>
      <c r="M78" s="98">
        <f t="shared" si="2"/>
        <v>10000</v>
      </c>
      <c r="N78" s="45">
        <v>10000</v>
      </c>
      <c r="O78" s="45"/>
      <c r="P78" s="98">
        <f t="shared" si="17"/>
        <v>-5000</v>
      </c>
      <c r="Q78" s="98">
        <f t="shared" si="18"/>
        <v>-5000</v>
      </c>
      <c r="R78" s="98">
        <f t="shared" si="19"/>
        <v>0</v>
      </c>
      <c r="S78" s="98">
        <f t="shared" si="20"/>
        <v>10000</v>
      </c>
      <c r="T78" s="98">
        <f t="shared" si="21"/>
        <v>10000</v>
      </c>
      <c r="U78" s="98">
        <f t="shared" si="22"/>
        <v>0</v>
      </c>
      <c r="V78" s="98">
        <f t="shared" si="23"/>
        <v>10000</v>
      </c>
      <c r="W78" s="98">
        <f t="shared" si="24"/>
        <v>10000</v>
      </c>
      <c r="X78" s="98">
        <f t="shared" si="25"/>
        <v>0</v>
      </c>
      <c r="Y78" s="99"/>
      <c r="Z78" s="100"/>
    </row>
    <row r="79" spans="1:26" s="101" customFormat="1" ht="15.75" customHeight="1">
      <c r="A79" s="5"/>
      <c r="B79" s="6"/>
      <c r="C79" s="6"/>
      <c r="D79" s="82"/>
      <c r="E79" s="109" t="s">
        <v>500</v>
      </c>
      <c r="F79" s="7" t="s">
        <v>501</v>
      </c>
      <c r="G79" s="98">
        <f t="shared" si="13"/>
        <v>4352.2</v>
      </c>
      <c r="H79" s="45">
        <v>4352.2</v>
      </c>
      <c r="I79" s="45"/>
      <c r="J79" s="98">
        <f t="shared" si="1"/>
        <v>10000</v>
      </c>
      <c r="K79" s="51">
        <v>10000</v>
      </c>
      <c r="L79" s="51"/>
      <c r="M79" s="98">
        <f t="shared" si="2"/>
        <v>17000</v>
      </c>
      <c r="N79" s="45">
        <v>17000</v>
      </c>
      <c r="O79" s="45"/>
      <c r="P79" s="98">
        <f t="shared" si="17"/>
        <v>7000</v>
      </c>
      <c r="Q79" s="98">
        <f t="shared" si="18"/>
        <v>7000</v>
      </c>
      <c r="R79" s="98">
        <f t="shared" si="19"/>
        <v>0</v>
      </c>
      <c r="S79" s="98">
        <f t="shared" si="20"/>
        <v>17000</v>
      </c>
      <c r="T79" s="98">
        <f t="shared" si="21"/>
        <v>17000</v>
      </c>
      <c r="U79" s="98">
        <f t="shared" si="22"/>
        <v>0</v>
      </c>
      <c r="V79" s="98">
        <f t="shared" si="23"/>
        <v>17000</v>
      </c>
      <c r="W79" s="98">
        <f t="shared" si="24"/>
        <v>17000</v>
      </c>
      <c r="X79" s="98">
        <f t="shared" si="25"/>
        <v>0</v>
      </c>
      <c r="Y79" s="99"/>
      <c r="Z79" s="100"/>
    </row>
    <row r="80" spans="1:26" s="101" customFormat="1" ht="15.75" customHeight="1">
      <c r="A80" s="5"/>
      <c r="B80" s="6"/>
      <c r="C80" s="6"/>
      <c r="D80" s="82"/>
      <c r="E80" s="112" t="s">
        <v>652</v>
      </c>
      <c r="F80" s="7"/>
      <c r="G80" s="98">
        <f t="shared" si="13"/>
        <v>0</v>
      </c>
      <c r="H80" s="51">
        <f aca="true" t="shared" si="26" ref="H80:X80">+H81</f>
        <v>0</v>
      </c>
      <c r="I80" s="51">
        <f t="shared" si="26"/>
        <v>0</v>
      </c>
      <c r="J80" s="98">
        <f t="shared" si="1"/>
        <v>15000</v>
      </c>
      <c r="K80" s="51">
        <f t="shared" si="26"/>
        <v>0</v>
      </c>
      <c r="L80" s="51">
        <f t="shared" si="26"/>
        <v>15000</v>
      </c>
      <c r="M80" s="98">
        <f t="shared" si="2"/>
        <v>0</v>
      </c>
      <c r="N80" s="51">
        <f t="shared" si="26"/>
        <v>0</v>
      </c>
      <c r="O80" s="51">
        <f t="shared" si="26"/>
        <v>0</v>
      </c>
      <c r="P80" s="98">
        <f t="shared" si="17"/>
        <v>-15000</v>
      </c>
      <c r="Q80" s="98">
        <f t="shared" si="18"/>
        <v>0</v>
      </c>
      <c r="R80" s="98">
        <f t="shared" si="19"/>
        <v>-15000</v>
      </c>
      <c r="S80" s="98">
        <f t="shared" si="20"/>
        <v>0</v>
      </c>
      <c r="T80" s="98">
        <f t="shared" si="21"/>
        <v>0</v>
      </c>
      <c r="U80" s="98">
        <f t="shared" si="22"/>
        <v>0</v>
      </c>
      <c r="V80" s="98">
        <f t="shared" si="23"/>
        <v>0</v>
      </c>
      <c r="W80" s="98">
        <f t="shared" si="24"/>
        <v>0</v>
      </c>
      <c r="X80" s="98">
        <f t="shared" si="25"/>
        <v>0</v>
      </c>
      <c r="Y80" s="99"/>
      <c r="Z80" s="100"/>
    </row>
    <row r="81" spans="1:26" s="101" customFormat="1" ht="15.75" customHeight="1">
      <c r="A81" s="5"/>
      <c r="B81" s="6"/>
      <c r="C81" s="6"/>
      <c r="D81" s="82"/>
      <c r="E81" s="109" t="s">
        <v>653</v>
      </c>
      <c r="F81" s="7">
        <v>5133</v>
      </c>
      <c r="G81" s="98">
        <f t="shared" si="13"/>
        <v>0</v>
      </c>
      <c r="H81" s="45"/>
      <c r="I81" s="45"/>
      <c r="J81" s="98">
        <f t="shared" si="1"/>
        <v>15000</v>
      </c>
      <c r="K81" s="51"/>
      <c r="L81" s="51">
        <v>15000</v>
      </c>
      <c r="M81" s="98">
        <f t="shared" si="2"/>
        <v>0</v>
      </c>
      <c r="N81" s="45"/>
      <c r="O81" s="45"/>
      <c r="P81" s="98">
        <f t="shared" si="17"/>
        <v>-15000</v>
      </c>
      <c r="Q81" s="98">
        <f t="shared" si="18"/>
        <v>0</v>
      </c>
      <c r="R81" s="98">
        <f t="shared" si="19"/>
        <v>-15000</v>
      </c>
      <c r="S81" s="98">
        <f t="shared" si="20"/>
        <v>0</v>
      </c>
      <c r="T81" s="98">
        <f t="shared" si="21"/>
        <v>0</v>
      </c>
      <c r="U81" s="98">
        <f t="shared" si="22"/>
        <v>0</v>
      </c>
      <c r="V81" s="98">
        <f t="shared" si="23"/>
        <v>0</v>
      </c>
      <c r="W81" s="98">
        <f t="shared" si="24"/>
        <v>0</v>
      </c>
      <c r="X81" s="98">
        <f t="shared" si="25"/>
        <v>0</v>
      </c>
      <c r="Y81" s="99"/>
      <c r="Z81" s="100"/>
    </row>
    <row r="82" spans="1:26" s="101" customFormat="1" ht="15.75" customHeight="1">
      <c r="A82" s="5"/>
      <c r="B82" s="6"/>
      <c r="C82" s="6"/>
      <c r="D82" s="82"/>
      <c r="E82" s="112" t="s">
        <v>670</v>
      </c>
      <c r="F82" s="7"/>
      <c r="G82" s="98">
        <f t="shared" si="13"/>
        <v>0</v>
      </c>
      <c r="H82" s="51">
        <f aca="true" t="shared" si="27" ref="H82:X82">+H83</f>
        <v>0</v>
      </c>
      <c r="I82" s="51">
        <f t="shared" si="27"/>
        <v>0</v>
      </c>
      <c r="J82" s="98">
        <f t="shared" si="1"/>
        <v>5000</v>
      </c>
      <c r="K82" s="51">
        <f t="shared" si="27"/>
        <v>5000</v>
      </c>
      <c r="L82" s="51">
        <f t="shared" si="27"/>
        <v>0</v>
      </c>
      <c r="M82" s="98">
        <f t="shared" si="2"/>
        <v>2000</v>
      </c>
      <c r="N82" s="51">
        <f t="shared" si="27"/>
        <v>2000</v>
      </c>
      <c r="O82" s="51">
        <f t="shared" si="27"/>
        <v>0</v>
      </c>
      <c r="P82" s="98">
        <f t="shared" si="17"/>
        <v>-3000</v>
      </c>
      <c r="Q82" s="98">
        <f t="shared" si="18"/>
        <v>-3000</v>
      </c>
      <c r="R82" s="98">
        <f t="shared" si="19"/>
        <v>0</v>
      </c>
      <c r="S82" s="98">
        <f t="shared" si="20"/>
        <v>2000</v>
      </c>
      <c r="T82" s="98">
        <f t="shared" si="21"/>
        <v>2000</v>
      </c>
      <c r="U82" s="98">
        <f t="shared" si="22"/>
        <v>0</v>
      </c>
      <c r="V82" s="98">
        <f t="shared" si="23"/>
        <v>2000</v>
      </c>
      <c r="W82" s="98">
        <f t="shared" si="24"/>
        <v>2000</v>
      </c>
      <c r="X82" s="98">
        <f t="shared" si="25"/>
        <v>0</v>
      </c>
      <c r="Y82" s="99"/>
      <c r="Z82" s="100"/>
    </row>
    <row r="83" spans="1:26" s="101" customFormat="1" ht="15.75" customHeight="1">
      <c r="A83" s="5"/>
      <c r="B83" s="6"/>
      <c r="C83" s="6"/>
      <c r="D83" s="82"/>
      <c r="E83" s="109" t="s">
        <v>671</v>
      </c>
      <c r="F83" s="7">
        <v>4237</v>
      </c>
      <c r="G83" s="98">
        <f t="shared" si="13"/>
        <v>0</v>
      </c>
      <c r="H83" s="45"/>
      <c r="I83" s="45"/>
      <c r="J83" s="98">
        <f t="shared" si="1"/>
        <v>5000</v>
      </c>
      <c r="K83" s="51">
        <v>5000</v>
      </c>
      <c r="L83" s="51"/>
      <c r="M83" s="98">
        <f t="shared" si="2"/>
        <v>2000</v>
      </c>
      <c r="N83" s="45">
        <v>2000</v>
      </c>
      <c r="O83" s="45"/>
      <c r="P83" s="98">
        <f t="shared" si="17"/>
        <v>-3000</v>
      </c>
      <c r="Q83" s="98">
        <f t="shared" si="18"/>
        <v>-3000</v>
      </c>
      <c r="R83" s="98">
        <f t="shared" si="19"/>
        <v>0</v>
      </c>
      <c r="S83" s="98">
        <f t="shared" si="20"/>
        <v>2000</v>
      </c>
      <c r="T83" s="98">
        <f t="shared" si="21"/>
        <v>2000</v>
      </c>
      <c r="U83" s="98">
        <f t="shared" si="22"/>
        <v>0</v>
      </c>
      <c r="V83" s="98">
        <f t="shared" si="23"/>
        <v>2000</v>
      </c>
      <c r="W83" s="98">
        <f t="shared" si="24"/>
        <v>2000</v>
      </c>
      <c r="X83" s="98">
        <f t="shared" si="25"/>
        <v>0</v>
      </c>
      <c r="Y83" s="99"/>
      <c r="Z83" s="100"/>
    </row>
    <row r="84" spans="1:26" s="101" customFormat="1" ht="15.75" customHeight="1">
      <c r="A84" s="5"/>
      <c r="B84" s="6"/>
      <c r="C84" s="6"/>
      <c r="D84" s="82"/>
      <c r="E84" s="112" t="s">
        <v>684</v>
      </c>
      <c r="F84" s="7"/>
      <c r="G84" s="98">
        <f t="shared" si="13"/>
        <v>280</v>
      </c>
      <c r="H84" s="51">
        <f aca="true" t="shared" si="28" ref="H84:X84">+H85</f>
        <v>280</v>
      </c>
      <c r="I84" s="51">
        <f t="shared" si="28"/>
        <v>0</v>
      </c>
      <c r="J84" s="98">
        <f t="shared" si="1"/>
        <v>2000</v>
      </c>
      <c r="K84" s="51">
        <f t="shared" si="28"/>
        <v>2000</v>
      </c>
      <c r="L84" s="51">
        <f t="shared" si="28"/>
        <v>0</v>
      </c>
      <c r="M84" s="98">
        <f t="shared" si="2"/>
        <v>0</v>
      </c>
      <c r="N84" s="51">
        <f t="shared" si="28"/>
        <v>0</v>
      </c>
      <c r="O84" s="51">
        <f t="shared" si="28"/>
        <v>0</v>
      </c>
      <c r="P84" s="98">
        <f t="shared" si="17"/>
        <v>-2000</v>
      </c>
      <c r="Q84" s="98">
        <f t="shared" si="18"/>
        <v>-2000</v>
      </c>
      <c r="R84" s="98">
        <f t="shared" si="19"/>
        <v>0</v>
      </c>
      <c r="S84" s="98">
        <f t="shared" si="20"/>
        <v>0</v>
      </c>
      <c r="T84" s="98">
        <f t="shared" si="21"/>
        <v>0</v>
      </c>
      <c r="U84" s="98">
        <f t="shared" si="22"/>
        <v>0</v>
      </c>
      <c r="V84" s="98">
        <f t="shared" si="23"/>
        <v>0</v>
      </c>
      <c r="W84" s="98">
        <f t="shared" si="24"/>
        <v>0</v>
      </c>
      <c r="X84" s="98">
        <f t="shared" si="25"/>
        <v>0</v>
      </c>
      <c r="Y84" s="99"/>
      <c r="Z84" s="100"/>
    </row>
    <row r="85" spans="1:26" s="101" customFormat="1" ht="15.75" customHeight="1">
      <c r="A85" s="5"/>
      <c r="B85" s="6"/>
      <c r="C85" s="6"/>
      <c r="D85" s="82"/>
      <c r="E85" s="109" t="s">
        <v>420</v>
      </c>
      <c r="F85" s="7">
        <v>4239</v>
      </c>
      <c r="G85" s="98">
        <f t="shared" si="13"/>
        <v>280</v>
      </c>
      <c r="H85" s="45">
        <v>280</v>
      </c>
      <c r="I85" s="45"/>
      <c r="J85" s="98">
        <f t="shared" si="1"/>
        <v>2000</v>
      </c>
      <c r="K85" s="51">
        <v>2000</v>
      </c>
      <c r="L85" s="51"/>
      <c r="M85" s="98">
        <f t="shared" si="2"/>
        <v>0</v>
      </c>
      <c r="N85" s="45"/>
      <c r="O85" s="45"/>
      <c r="P85" s="98">
        <f t="shared" si="17"/>
        <v>-2000</v>
      </c>
      <c r="Q85" s="98">
        <f t="shared" si="18"/>
        <v>-2000</v>
      </c>
      <c r="R85" s="98">
        <f t="shared" si="19"/>
        <v>0</v>
      </c>
      <c r="S85" s="98">
        <f t="shared" si="20"/>
        <v>0</v>
      </c>
      <c r="T85" s="98">
        <f t="shared" si="21"/>
        <v>0</v>
      </c>
      <c r="U85" s="98">
        <f t="shared" si="22"/>
        <v>0</v>
      </c>
      <c r="V85" s="98">
        <f t="shared" si="23"/>
        <v>0</v>
      </c>
      <c r="W85" s="98">
        <f t="shared" si="24"/>
        <v>0</v>
      </c>
      <c r="X85" s="98">
        <f t="shared" si="25"/>
        <v>0</v>
      </c>
      <c r="Y85" s="99"/>
      <c r="Z85" s="100"/>
    </row>
    <row r="86" spans="1:26" s="101" customFormat="1" ht="28.5" customHeight="1">
      <c r="A86" s="5"/>
      <c r="B86" s="6"/>
      <c r="C86" s="6"/>
      <c r="D86" s="82"/>
      <c r="E86" s="112" t="s">
        <v>685</v>
      </c>
      <c r="F86" s="7"/>
      <c r="G86" s="98">
        <f t="shared" si="13"/>
        <v>37828.200000000004</v>
      </c>
      <c r="H86" s="51">
        <f>+H87+H88+H89+H90+H91+H92</f>
        <v>14567.900000000001</v>
      </c>
      <c r="I86" s="51">
        <f>+I87+I88+I89+I90+I91+I92</f>
        <v>23260.300000000003</v>
      </c>
      <c r="J86" s="98">
        <f t="shared" si="1"/>
        <v>81022.2</v>
      </c>
      <c r="K86" s="51">
        <f>+K87+K88+K90+K92</f>
        <v>25020.9</v>
      </c>
      <c r="L86" s="51">
        <f>+L87+L88+L90+L92</f>
        <v>56001.299999999996</v>
      </c>
      <c r="M86" s="98">
        <f t="shared" si="2"/>
        <v>219120</v>
      </c>
      <c r="N86" s="51">
        <f>+N87+N88+N89+N90+N91+N92</f>
        <v>21000</v>
      </c>
      <c r="O86" s="51">
        <f>+O87+O88+O89+O90+O91+O92</f>
        <v>198120</v>
      </c>
      <c r="P86" s="98">
        <f t="shared" si="17"/>
        <v>138097.8</v>
      </c>
      <c r="Q86" s="98">
        <f t="shared" si="18"/>
        <v>-4020.9000000000015</v>
      </c>
      <c r="R86" s="98">
        <f t="shared" si="19"/>
        <v>142118.7</v>
      </c>
      <c r="S86" s="98">
        <f t="shared" si="20"/>
        <v>219120</v>
      </c>
      <c r="T86" s="98">
        <f t="shared" si="21"/>
        <v>21000</v>
      </c>
      <c r="U86" s="98">
        <f t="shared" si="22"/>
        <v>198120</v>
      </c>
      <c r="V86" s="98">
        <f t="shared" si="23"/>
        <v>219120</v>
      </c>
      <c r="W86" s="98">
        <f t="shared" si="24"/>
        <v>21000</v>
      </c>
      <c r="X86" s="98">
        <f t="shared" si="25"/>
        <v>198120</v>
      </c>
      <c r="Y86" s="99"/>
      <c r="Z86" s="100"/>
    </row>
    <row r="87" spans="1:26" s="101" customFormat="1" ht="28.5" customHeight="1">
      <c r="A87" s="5"/>
      <c r="B87" s="6"/>
      <c r="C87" s="6"/>
      <c r="D87" s="82"/>
      <c r="E87" s="109" t="s">
        <v>654</v>
      </c>
      <c r="F87" s="7">
        <v>4211</v>
      </c>
      <c r="G87" s="98">
        <f t="shared" si="13"/>
        <v>0</v>
      </c>
      <c r="H87" s="45"/>
      <c r="I87" s="45"/>
      <c r="J87" s="98">
        <f t="shared" si="1"/>
        <v>20.9</v>
      </c>
      <c r="K87" s="51">
        <f>5+7.3+4.1+4.5</f>
        <v>20.9</v>
      </c>
      <c r="L87" s="51"/>
      <c r="M87" s="98">
        <f t="shared" si="2"/>
        <v>0</v>
      </c>
      <c r="N87" s="45"/>
      <c r="O87" s="45"/>
      <c r="P87" s="98">
        <f t="shared" si="17"/>
        <v>-20.9</v>
      </c>
      <c r="Q87" s="98">
        <f t="shared" si="18"/>
        <v>-20.9</v>
      </c>
      <c r="R87" s="98">
        <f t="shared" si="19"/>
        <v>0</v>
      </c>
      <c r="S87" s="98">
        <f t="shared" si="20"/>
        <v>0</v>
      </c>
      <c r="T87" s="98">
        <f t="shared" si="21"/>
        <v>0</v>
      </c>
      <c r="U87" s="98">
        <f t="shared" si="22"/>
        <v>0</v>
      </c>
      <c r="V87" s="98">
        <f t="shared" si="23"/>
        <v>0</v>
      </c>
      <c r="W87" s="98">
        <f t="shared" si="24"/>
        <v>0</v>
      </c>
      <c r="X87" s="98">
        <f t="shared" si="25"/>
        <v>0</v>
      </c>
      <c r="Y87" s="99"/>
      <c r="Z87" s="100"/>
    </row>
    <row r="88" spans="1:26" s="101" customFormat="1" ht="15.75" customHeight="1">
      <c r="A88" s="5"/>
      <c r="B88" s="6"/>
      <c r="C88" s="6"/>
      <c r="D88" s="82"/>
      <c r="E88" s="109" t="s">
        <v>420</v>
      </c>
      <c r="F88" s="7">
        <v>4239</v>
      </c>
      <c r="G88" s="98">
        <f t="shared" si="13"/>
        <v>14010.7</v>
      </c>
      <c r="H88" s="45">
        <f>7540.1+6470.6</f>
        <v>14010.7</v>
      </c>
      <c r="I88" s="45"/>
      <c r="J88" s="98">
        <f t="shared" si="1"/>
        <v>25000</v>
      </c>
      <c r="K88" s="51">
        <v>25000</v>
      </c>
      <c r="L88" s="51"/>
      <c r="M88" s="98">
        <f t="shared" si="2"/>
        <v>21000</v>
      </c>
      <c r="N88" s="45">
        <v>21000</v>
      </c>
      <c r="O88" s="45"/>
      <c r="P88" s="98">
        <f t="shared" si="17"/>
        <v>-4000</v>
      </c>
      <c r="Q88" s="98">
        <f t="shared" si="18"/>
        <v>-4000</v>
      </c>
      <c r="R88" s="98">
        <f t="shared" si="19"/>
        <v>0</v>
      </c>
      <c r="S88" s="98">
        <f t="shared" si="20"/>
        <v>21000</v>
      </c>
      <c r="T88" s="98">
        <f t="shared" si="21"/>
        <v>21000</v>
      </c>
      <c r="U88" s="98">
        <f t="shared" si="22"/>
        <v>0</v>
      </c>
      <c r="V88" s="98">
        <f t="shared" si="23"/>
        <v>21000</v>
      </c>
      <c r="W88" s="98">
        <f t="shared" si="24"/>
        <v>21000</v>
      </c>
      <c r="X88" s="98">
        <f t="shared" si="25"/>
        <v>0</v>
      </c>
      <c r="Y88" s="99"/>
      <c r="Z88" s="100"/>
    </row>
    <row r="89" spans="1:26" s="101" customFormat="1" ht="15.75" customHeight="1">
      <c r="A89" s="5"/>
      <c r="B89" s="6"/>
      <c r="C89" s="6"/>
      <c r="D89" s="82"/>
      <c r="E89" s="109" t="s">
        <v>622</v>
      </c>
      <c r="F89" s="7">
        <v>4267</v>
      </c>
      <c r="G89" s="98">
        <f t="shared" si="13"/>
        <v>557.2</v>
      </c>
      <c r="H89" s="45">
        <v>557.2</v>
      </c>
      <c r="I89" s="45"/>
      <c r="J89" s="98"/>
      <c r="K89" s="51"/>
      <c r="L89" s="51"/>
      <c r="M89" s="98"/>
      <c r="N89" s="45"/>
      <c r="O89" s="45"/>
      <c r="P89" s="98">
        <f t="shared" si="17"/>
        <v>0</v>
      </c>
      <c r="Q89" s="98">
        <f t="shared" si="18"/>
        <v>0</v>
      </c>
      <c r="R89" s="98">
        <f t="shared" si="19"/>
        <v>0</v>
      </c>
      <c r="S89" s="98">
        <f t="shared" si="20"/>
        <v>0</v>
      </c>
      <c r="T89" s="98">
        <f t="shared" si="21"/>
        <v>0</v>
      </c>
      <c r="U89" s="98">
        <f t="shared" si="22"/>
        <v>0</v>
      </c>
      <c r="V89" s="98">
        <f t="shared" si="23"/>
        <v>0</v>
      </c>
      <c r="W89" s="98">
        <f t="shared" si="24"/>
        <v>0</v>
      </c>
      <c r="X89" s="98">
        <f t="shared" si="25"/>
        <v>0</v>
      </c>
      <c r="Y89" s="99"/>
      <c r="Z89" s="100"/>
    </row>
    <row r="90" spans="1:26" s="101" customFormat="1" ht="15.75" customHeight="1">
      <c r="A90" s="5"/>
      <c r="B90" s="6"/>
      <c r="C90" s="6"/>
      <c r="D90" s="82"/>
      <c r="E90" s="109" t="s">
        <v>521</v>
      </c>
      <c r="F90" s="7">
        <v>5112</v>
      </c>
      <c r="G90" s="98">
        <f t="shared" si="13"/>
        <v>0</v>
      </c>
      <c r="H90" s="45"/>
      <c r="I90" s="45"/>
      <c r="J90" s="98">
        <f t="shared" si="1"/>
        <v>54580.1</v>
      </c>
      <c r="K90" s="51"/>
      <c r="L90" s="51">
        <v>54580.1</v>
      </c>
      <c r="M90" s="98">
        <f t="shared" si="2"/>
        <v>0</v>
      </c>
      <c r="N90" s="45"/>
      <c r="O90" s="45"/>
      <c r="P90" s="98">
        <f t="shared" si="17"/>
        <v>-54580.1</v>
      </c>
      <c r="Q90" s="98">
        <f t="shared" si="18"/>
        <v>0</v>
      </c>
      <c r="R90" s="98">
        <f t="shared" si="19"/>
        <v>-54580.1</v>
      </c>
      <c r="S90" s="98">
        <f t="shared" si="20"/>
        <v>0</v>
      </c>
      <c r="T90" s="98">
        <f t="shared" si="21"/>
        <v>0</v>
      </c>
      <c r="U90" s="98">
        <f t="shared" si="22"/>
        <v>0</v>
      </c>
      <c r="V90" s="98">
        <f t="shared" si="23"/>
        <v>0</v>
      </c>
      <c r="W90" s="98">
        <f t="shared" si="24"/>
        <v>0</v>
      </c>
      <c r="X90" s="98">
        <f t="shared" si="25"/>
        <v>0</v>
      </c>
      <c r="Y90" s="99"/>
      <c r="Z90" s="100"/>
    </row>
    <row r="91" spans="1:26" s="101" customFormat="1" ht="15.75" customHeight="1">
      <c r="A91" s="5"/>
      <c r="B91" s="6"/>
      <c r="C91" s="6"/>
      <c r="D91" s="82"/>
      <c r="E91" s="109" t="s">
        <v>732</v>
      </c>
      <c r="F91" s="7">
        <v>5113</v>
      </c>
      <c r="G91" s="98">
        <f t="shared" si="13"/>
        <v>20529.4</v>
      </c>
      <c r="H91" s="45"/>
      <c r="I91" s="45">
        <f>12600.4+7929</f>
        <v>20529.4</v>
      </c>
      <c r="J91" s="98"/>
      <c r="K91" s="51"/>
      <c r="L91" s="51"/>
      <c r="M91" s="98">
        <f t="shared" si="2"/>
        <v>189200</v>
      </c>
      <c r="N91" s="45"/>
      <c r="O91" s="45">
        <v>189200</v>
      </c>
      <c r="P91" s="98">
        <f t="shared" si="17"/>
        <v>189200</v>
      </c>
      <c r="Q91" s="98">
        <f t="shared" si="18"/>
        <v>0</v>
      </c>
      <c r="R91" s="98">
        <f t="shared" si="19"/>
        <v>189200</v>
      </c>
      <c r="S91" s="98">
        <f t="shared" si="20"/>
        <v>189200</v>
      </c>
      <c r="T91" s="98">
        <f t="shared" si="21"/>
        <v>0</v>
      </c>
      <c r="U91" s="98">
        <f t="shared" si="22"/>
        <v>189200</v>
      </c>
      <c r="V91" s="98">
        <f t="shared" si="23"/>
        <v>189200</v>
      </c>
      <c r="W91" s="98">
        <f t="shared" si="24"/>
        <v>0</v>
      </c>
      <c r="X91" s="98">
        <f t="shared" si="25"/>
        <v>189200</v>
      </c>
      <c r="Y91" s="99"/>
      <c r="Z91" s="100"/>
    </row>
    <row r="92" spans="1:26" s="101" customFormat="1" ht="15.75" customHeight="1">
      <c r="A92" s="5"/>
      <c r="B92" s="6"/>
      <c r="C92" s="6"/>
      <c r="D92" s="82"/>
      <c r="E92" s="109" t="s">
        <v>538</v>
      </c>
      <c r="F92" s="7">
        <v>5134</v>
      </c>
      <c r="G92" s="98">
        <f t="shared" si="13"/>
        <v>2730.9</v>
      </c>
      <c r="H92" s="45"/>
      <c r="I92" s="45">
        <v>2730.9</v>
      </c>
      <c r="J92" s="98">
        <f aca="true" t="shared" si="29" ref="J92:J176">+K92+L92</f>
        <v>1421.2</v>
      </c>
      <c r="K92" s="51"/>
      <c r="L92" s="51">
        <v>1421.2</v>
      </c>
      <c r="M92" s="98">
        <f aca="true" t="shared" si="30" ref="M92:M176">+N92+O92</f>
        <v>8920</v>
      </c>
      <c r="N92" s="45"/>
      <c r="O92" s="45">
        <v>8920</v>
      </c>
      <c r="P92" s="98">
        <f t="shared" si="17"/>
        <v>7498.8</v>
      </c>
      <c r="Q92" s="98">
        <f t="shared" si="18"/>
        <v>0</v>
      </c>
      <c r="R92" s="98">
        <f t="shared" si="19"/>
        <v>7498.8</v>
      </c>
      <c r="S92" s="98">
        <f t="shared" si="20"/>
        <v>8920</v>
      </c>
      <c r="T92" s="98">
        <f t="shared" si="21"/>
        <v>0</v>
      </c>
      <c r="U92" s="98">
        <f t="shared" si="22"/>
        <v>8920</v>
      </c>
      <c r="V92" s="98">
        <f t="shared" si="23"/>
        <v>8920</v>
      </c>
      <c r="W92" s="98">
        <f t="shared" si="24"/>
        <v>0</v>
      </c>
      <c r="X92" s="98">
        <f t="shared" si="25"/>
        <v>8920</v>
      </c>
      <c r="Y92" s="99"/>
      <c r="Z92" s="100"/>
    </row>
    <row r="93" spans="1:26" s="101" customFormat="1" ht="25.5" customHeight="1">
      <c r="A93" s="10" t="s">
        <v>217</v>
      </c>
      <c r="B93" s="7" t="s">
        <v>218</v>
      </c>
      <c r="C93" s="7" t="s">
        <v>194</v>
      </c>
      <c r="D93" s="7" t="s">
        <v>194</v>
      </c>
      <c r="E93" s="96" t="s">
        <v>219</v>
      </c>
      <c r="F93" s="97"/>
      <c r="G93" s="98">
        <f t="shared" si="13"/>
        <v>5222</v>
      </c>
      <c r="H93" s="98">
        <f>+H95+H99</f>
        <v>4622</v>
      </c>
      <c r="I93" s="98">
        <f>+I95+I99</f>
        <v>600</v>
      </c>
      <c r="J93" s="98">
        <f t="shared" si="29"/>
        <v>21000</v>
      </c>
      <c r="K93" s="98">
        <f>+K99</f>
        <v>1000</v>
      </c>
      <c r="L93" s="98">
        <f>+L99</f>
        <v>20000</v>
      </c>
      <c r="M93" s="98">
        <f t="shared" si="30"/>
        <v>10000</v>
      </c>
      <c r="N93" s="98">
        <f>+N95+N99</f>
        <v>10000</v>
      </c>
      <c r="O93" s="98">
        <f>+O95+O99</f>
        <v>0</v>
      </c>
      <c r="P93" s="98">
        <f t="shared" si="17"/>
        <v>-11000</v>
      </c>
      <c r="Q93" s="98">
        <f t="shared" si="18"/>
        <v>9000</v>
      </c>
      <c r="R93" s="98">
        <f t="shared" si="19"/>
        <v>-20000</v>
      </c>
      <c r="S93" s="98">
        <f t="shared" si="20"/>
        <v>10000</v>
      </c>
      <c r="T93" s="98">
        <f t="shared" si="21"/>
        <v>10000</v>
      </c>
      <c r="U93" s="98">
        <f t="shared" si="22"/>
        <v>0</v>
      </c>
      <c r="V93" s="98">
        <f t="shared" si="23"/>
        <v>10000</v>
      </c>
      <c r="W93" s="98">
        <f t="shared" si="24"/>
        <v>10000</v>
      </c>
      <c r="X93" s="98">
        <f t="shared" si="25"/>
        <v>0</v>
      </c>
      <c r="Y93" s="99"/>
      <c r="Z93" s="100"/>
    </row>
    <row r="94" spans="1:26" s="101" customFormat="1" ht="19.5" customHeight="1">
      <c r="A94" s="5"/>
      <c r="B94" s="6"/>
      <c r="C94" s="6"/>
      <c r="D94" s="82"/>
      <c r="E94" s="109" t="s">
        <v>5</v>
      </c>
      <c r="F94" s="82"/>
      <c r="G94" s="98">
        <f t="shared" si="13"/>
        <v>0</v>
      </c>
      <c r="H94" s="45"/>
      <c r="I94" s="45"/>
      <c r="J94" s="98">
        <f t="shared" si="29"/>
        <v>0</v>
      </c>
      <c r="K94" s="51"/>
      <c r="L94" s="51"/>
      <c r="M94" s="98">
        <f t="shared" si="30"/>
        <v>0</v>
      </c>
      <c r="N94" s="45"/>
      <c r="O94" s="45"/>
      <c r="P94" s="98">
        <f t="shared" si="17"/>
        <v>0</v>
      </c>
      <c r="Q94" s="98">
        <f t="shared" si="18"/>
        <v>0</v>
      </c>
      <c r="R94" s="98">
        <f t="shared" si="19"/>
        <v>0</v>
      </c>
      <c r="S94" s="98">
        <f t="shared" si="20"/>
        <v>0</v>
      </c>
      <c r="T94" s="98">
        <f t="shared" si="21"/>
        <v>0</v>
      </c>
      <c r="U94" s="98">
        <f t="shared" si="22"/>
        <v>0</v>
      </c>
      <c r="V94" s="98">
        <f t="shared" si="23"/>
        <v>0</v>
      </c>
      <c r="W94" s="98">
        <f t="shared" si="24"/>
        <v>0</v>
      </c>
      <c r="X94" s="98">
        <f t="shared" si="25"/>
        <v>0</v>
      </c>
      <c r="Y94" s="99"/>
      <c r="Z94" s="100"/>
    </row>
    <row r="95" spans="1:26" s="101" customFormat="1" ht="19.5" customHeight="1">
      <c r="A95" s="5">
        <v>2220</v>
      </c>
      <c r="B95" s="117" t="s">
        <v>218</v>
      </c>
      <c r="C95" s="117" t="s">
        <v>218</v>
      </c>
      <c r="D95" s="118"/>
      <c r="E95" s="27" t="s">
        <v>222</v>
      </c>
      <c r="F95" s="82"/>
      <c r="G95" s="98">
        <f t="shared" si="13"/>
        <v>5029</v>
      </c>
      <c r="H95" s="45">
        <f>+H96</f>
        <v>4429</v>
      </c>
      <c r="I95" s="45">
        <f>+I96</f>
        <v>600</v>
      </c>
      <c r="J95" s="98"/>
      <c r="K95" s="51"/>
      <c r="L95" s="51"/>
      <c r="M95" s="98"/>
      <c r="N95" s="45">
        <f>+N96</f>
        <v>0</v>
      </c>
      <c r="O95" s="45">
        <f>+O96</f>
        <v>0</v>
      </c>
      <c r="P95" s="98">
        <f t="shared" si="17"/>
        <v>0</v>
      </c>
      <c r="Q95" s="98">
        <f t="shared" si="18"/>
        <v>0</v>
      </c>
      <c r="R95" s="98">
        <f t="shared" si="19"/>
        <v>0</v>
      </c>
      <c r="S95" s="98">
        <f t="shared" si="20"/>
        <v>0</v>
      </c>
      <c r="T95" s="98">
        <f t="shared" si="21"/>
        <v>0</v>
      </c>
      <c r="U95" s="98">
        <f t="shared" si="22"/>
        <v>0</v>
      </c>
      <c r="V95" s="98">
        <f t="shared" si="23"/>
        <v>0</v>
      </c>
      <c r="W95" s="98">
        <f t="shared" si="24"/>
        <v>0</v>
      </c>
      <c r="X95" s="98">
        <f t="shared" si="25"/>
        <v>0</v>
      </c>
      <c r="Y95" s="99"/>
      <c r="Z95" s="100"/>
    </row>
    <row r="96" spans="1:26" s="101" customFormat="1" ht="19.5" customHeight="1">
      <c r="A96" s="5">
        <v>2221</v>
      </c>
      <c r="B96" s="117" t="s">
        <v>218</v>
      </c>
      <c r="C96" s="117" t="s">
        <v>218</v>
      </c>
      <c r="D96" s="118" t="s">
        <v>193</v>
      </c>
      <c r="E96" s="15" t="s">
        <v>222</v>
      </c>
      <c r="F96" s="82"/>
      <c r="G96" s="98">
        <f t="shared" si="13"/>
        <v>5029</v>
      </c>
      <c r="H96" s="45">
        <f>+H97</f>
        <v>4429</v>
      </c>
      <c r="I96" s="45">
        <f>+I98</f>
        <v>600</v>
      </c>
      <c r="J96" s="98"/>
      <c r="K96" s="51"/>
      <c r="L96" s="51"/>
      <c r="M96" s="98"/>
      <c r="N96" s="45">
        <f>+N97</f>
        <v>0</v>
      </c>
      <c r="O96" s="45">
        <f>+O98</f>
        <v>0</v>
      </c>
      <c r="P96" s="98">
        <f t="shared" si="17"/>
        <v>0</v>
      </c>
      <c r="Q96" s="98">
        <f t="shared" si="18"/>
        <v>0</v>
      </c>
      <c r="R96" s="98">
        <f t="shared" si="19"/>
        <v>0</v>
      </c>
      <c r="S96" s="98">
        <f t="shared" si="20"/>
        <v>0</v>
      </c>
      <c r="T96" s="98">
        <f t="shared" si="21"/>
        <v>0</v>
      </c>
      <c r="U96" s="98">
        <f t="shared" si="22"/>
        <v>0</v>
      </c>
      <c r="V96" s="98">
        <f t="shared" si="23"/>
        <v>0</v>
      </c>
      <c r="W96" s="98">
        <f t="shared" si="24"/>
        <v>0</v>
      </c>
      <c r="X96" s="98">
        <f t="shared" si="25"/>
        <v>0</v>
      </c>
      <c r="Y96" s="99"/>
      <c r="Z96" s="100"/>
    </row>
    <row r="97" spans="1:26" s="101" customFormat="1" ht="19.5" customHeight="1">
      <c r="A97" s="5"/>
      <c r="B97" s="117"/>
      <c r="C97" s="117"/>
      <c r="D97" s="118"/>
      <c r="E97" s="109" t="s">
        <v>420</v>
      </c>
      <c r="F97" s="7">
        <v>4239</v>
      </c>
      <c r="G97" s="98">
        <f t="shared" si="13"/>
        <v>4429</v>
      </c>
      <c r="H97" s="45">
        <v>4429</v>
      </c>
      <c r="I97" s="45"/>
      <c r="J97" s="98"/>
      <c r="K97" s="51"/>
      <c r="L97" s="51"/>
      <c r="M97" s="98"/>
      <c r="N97" s="45"/>
      <c r="O97" s="45"/>
      <c r="P97" s="98">
        <f t="shared" si="17"/>
        <v>0</v>
      </c>
      <c r="Q97" s="98">
        <f t="shared" si="18"/>
        <v>0</v>
      </c>
      <c r="R97" s="98">
        <f t="shared" si="19"/>
        <v>0</v>
      </c>
      <c r="S97" s="98">
        <f t="shared" si="20"/>
        <v>0</v>
      </c>
      <c r="T97" s="98">
        <f t="shared" si="21"/>
        <v>0</v>
      </c>
      <c r="U97" s="98">
        <f t="shared" si="22"/>
        <v>0</v>
      </c>
      <c r="V97" s="98">
        <f t="shared" si="23"/>
        <v>0</v>
      </c>
      <c r="W97" s="98">
        <f t="shared" si="24"/>
        <v>0</v>
      </c>
      <c r="X97" s="98">
        <f t="shared" si="25"/>
        <v>0</v>
      </c>
      <c r="Y97" s="99"/>
      <c r="Z97" s="100"/>
    </row>
    <row r="98" spans="1:26" s="101" customFormat="1" ht="19.5" customHeight="1">
      <c r="A98" s="5"/>
      <c r="B98" s="117"/>
      <c r="C98" s="117"/>
      <c r="D98" s="118"/>
      <c r="E98" s="109" t="s">
        <v>523</v>
      </c>
      <c r="F98" s="7">
        <v>5113</v>
      </c>
      <c r="G98" s="98"/>
      <c r="H98" s="45"/>
      <c r="I98" s="45">
        <v>600</v>
      </c>
      <c r="J98" s="98"/>
      <c r="K98" s="51"/>
      <c r="L98" s="51"/>
      <c r="M98" s="98"/>
      <c r="N98" s="45"/>
      <c r="O98" s="45"/>
      <c r="P98" s="98">
        <f t="shared" si="17"/>
        <v>0</v>
      </c>
      <c r="Q98" s="98">
        <f t="shared" si="18"/>
        <v>0</v>
      </c>
      <c r="R98" s="98">
        <f t="shared" si="19"/>
        <v>0</v>
      </c>
      <c r="S98" s="98">
        <f t="shared" si="20"/>
        <v>0</v>
      </c>
      <c r="T98" s="98">
        <f t="shared" si="21"/>
        <v>0</v>
      </c>
      <c r="U98" s="98">
        <f t="shared" si="22"/>
        <v>0</v>
      </c>
      <c r="V98" s="98">
        <f t="shared" si="23"/>
        <v>0</v>
      </c>
      <c r="W98" s="98">
        <f t="shared" si="24"/>
        <v>0</v>
      </c>
      <c r="X98" s="98">
        <f t="shared" si="25"/>
        <v>0</v>
      </c>
      <c r="Y98" s="99"/>
      <c r="Z98" s="100"/>
    </row>
    <row r="99" spans="1:26" s="101" customFormat="1" ht="19.5" customHeight="1">
      <c r="A99" s="10" t="s">
        <v>224</v>
      </c>
      <c r="B99" s="7" t="s">
        <v>218</v>
      </c>
      <c r="C99" s="7" t="s">
        <v>210</v>
      </c>
      <c r="D99" s="7" t="s">
        <v>194</v>
      </c>
      <c r="E99" s="106" t="s">
        <v>225</v>
      </c>
      <c r="F99" s="107"/>
      <c r="G99" s="98">
        <f t="shared" si="13"/>
        <v>193</v>
      </c>
      <c r="H99" s="108">
        <f>+H101</f>
        <v>193</v>
      </c>
      <c r="I99" s="108">
        <f>+I101</f>
        <v>0</v>
      </c>
      <c r="J99" s="98">
        <f t="shared" si="29"/>
        <v>21000</v>
      </c>
      <c r="K99" s="108">
        <f>+K101</f>
        <v>1000</v>
      </c>
      <c r="L99" s="108">
        <f>+L101</f>
        <v>20000</v>
      </c>
      <c r="M99" s="98">
        <f t="shared" si="30"/>
        <v>10000</v>
      </c>
      <c r="N99" s="108">
        <f>+N101</f>
        <v>10000</v>
      </c>
      <c r="O99" s="108">
        <f>+O101</f>
        <v>0</v>
      </c>
      <c r="P99" s="98">
        <f t="shared" si="17"/>
        <v>-11000</v>
      </c>
      <c r="Q99" s="98">
        <f t="shared" si="18"/>
        <v>9000</v>
      </c>
      <c r="R99" s="98">
        <f t="shared" si="19"/>
        <v>-20000</v>
      </c>
      <c r="S99" s="98">
        <f t="shared" si="20"/>
        <v>10000</v>
      </c>
      <c r="T99" s="98">
        <f t="shared" si="21"/>
        <v>10000</v>
      </c>
      <c r="U99" s="98">
        <f t="shared" si="22"/>
        <v>0</v>
      </c>
      <c r="V99" s="98">
        <f t="shared" si="23"/>
        <v>10000</v>
      </c>
      <c r="W99" s="98">
        <f t="shared" si="24"/>
        <v>10000</v>
      </c>
      <c r="X99" s="98">
        <f t="shared" si="25"/>
        <v>0</v>
      </c>
      <c r="Y99" s="99"/>
      <c r="Z99" s="100"/>
    </row>
    <row r="100" spans="1:26" ht="12.75" customHeight="1">
      <c r="A100" s="12"/>
      <c r="B100" s="14"/>
      <c r="C100" s="14"/>
      <c r="D100" s="102"/>
      <c r="E100" s="103" t="s">
        <v>199</v>
      </c>
      <c r="F100" s="102"/>
      <c r="G100" s="98">
        <f t="shared" si="13"/>
        <v>0</v>
      </c>
      <c r="H100" s="45"/>
      <c r="I100" s="45"/>
      <c r="J100" s="98">
        <f t="shared" si="29"/>
        <v>0</v>
      </c>
      <c r="K100" s="54"/>
      <c r="L100" s="54"/>
      <c r="M100" s="98">
        <f t="shared" si="30"/>
        <v>0</v>
      </c>
      <c r="N100" s="45"/>
      <c r="O100" s="45"/>
      <c r="P100" s="98">
        <f t="shared" si="17"/>
        <v>0</v>
      </c>
      <c r="Q100" s="98">
        <f t="shared" si="18"/>
        <v>0</v>
      </c>
      <c r="R100" s="98">
        <f t="shared" si="19"/>
        <v>0</v>
      </c>
      <c r="S100" s="98">
        <f t="shared" si="20"/>
        <v>0</v>
      </c>
      <c r="T100" s="98">
        <f t="shared" si="21"/>
        <v>0</v>
      </c>
      <c r="U100" s="98">
        <f t="shared" si="22"/>
        <v>0</v>
      </c>
      <c r="V100" s="98">
        <f t="shared" si="23"/>
        <v>0</v>
      </c>
      <c r="W100" s="98">
        <f t="shared" si="24"/>
        <v>0</v>
      </c>
      <c r="X100" s="98">
        <f t="shared" si="25"/>
        <v>0</v>
      </c>
      <c r="Y100" s="104"/>
      <c r="Z100" s="105"/>
    </row>
    <row r="101" spans="1:26" s="101" customFormat="1" ht="26.25" customHeight="1">
      <c r="A101" s="10" t="s">
        <v>226</v>
      </c>
      <c r="B101" s="7" t="s">
        <v>218</v>
      </c>
      <c r="C101" s="7" t="s">
        <v>210</v>
      </c>
      <c r="D101" s="7" t="s">
        <v>197</v>
      </c>
      <c r="E101" s="109" t="s">
        <v>225</v>
      </c>
      <c r="F101" s="82"/>
      <c r="G101" s="98">
        <f t="shared" si="13"/>
        <v>193</v>
      </c>
      <c r="H101" s="51">
        <f>+H103</f>
        <v>193</v>
      </c>
      <c r="I101" s="51">
        <f>+I103</f>
        <v>0</v>
      </c>
      <c r="J101" s="98">
        <f t="shared" si="29"/>
        <v>21000</v>
      </c>
      <c r="K101" s="51">
        <f>+K103</f>
        <v>1000</v>
      </c>
      <c r="L101" s="51">
        <f>+L103</f>
        <v>20000</v>
      </c>
      <c r="M101" s="98">
        <f t="shared" si="30"/>
        <v>10000</v>
      </c>
      <c r="N101" s="51">
        <f>+N103</f>
        <v>10000</v>
      </c>
      <c r="O101" s="51">
        <f>+O103</f>
        <v>0</v>
      </c>
      <c r="P101" s="98">
        <f t="shared" si="17"/>
        <v>-11000</v>
      </c>
      <c r="Q101" s="98">
        <f t="shared" si="18"/>
        <v>9000</v>
      </c>
      <c r="R101" s="98">
        <f t="shared" si="19"/>
        <v>-20000</v>
      </c>
      <c r="S101" s="98">
        <f t="shared" si="20"/>
        <v>10000</v>
      </c>
      <c r="T101" s="98">
        <f t="shared" si="21"/>
        <v>10000</v>
      </c>
      <c r="U101" s="98">
        <f t="shared" si="22"/>
        <v>0</v>
      </c>
      <c r="V101" s="98">
        <f t="shared" si="23"/>
        <v>10000</v>
      </c>
      <c r="W101" s="98">
        <f t="shared" si="24"/>
        <v>10000</v>
      </c>
      <c r="X101" s="98">
        <f t="shared" si="25"/>
        <v>0</v>
      </c>
      <c r="Y101" s="99"/>
      <c r="Z101" s="100"/>
    </row>
    <row r="102" spans="1:26" ht="12.75" customHeight="1">
      <c r="A102" s="12"/>
      <c r="B102" s="14"/>
      <c r="C102" s="14"/>
      <c r="D102" s="102"/>
      <c r="E102" s="103" t="s">
        <v>5</v>
      </c>
      <c r="F102" s="102"/>
      <c r="G102" s="98">
        <f t="shared" si="13"/>
        <v>0</v>
      </c>
      <c r="H102" s="45"/>
      <c r="I102" s="45"/>
      <c r="J102" s="98">
        <f t="shared" si="29"/>
        <v>0</v>
      </c>
      <c r="K102" s="54"/>
      <c r="L102" s="54"/>
      <c r="M102" s="98">
        <f t="shared" si="30"/>
        <v>0</v>
      </c>
      <c r="N102" s="45"/>
      <c r="O102" s="45"/>
      <c r="P102" s="98">
        <f t="shared" si="17"/>
        <v>0</v>
      </c>
      <c r="Q102" s="98">
        <f t="shared" si="18"/>
        <v>0</v>
      </c>
      <c r="R102" s="98">
        <f t="shared" si="19"/>
        <v>0</v>
      </c>
      <c r="S102" s="98">
        <f t="shared" si="20"/>
        <v>0</v>
      </c>
      <c r="T102" s="98">
        <f t="shared" si="21"/>
        <v>0</v>
      </c>
      <c r="U102" s="98">
        <f t="shared" si="22"/>
        <v>0</v>
      </c>
      <c r="V102" s="98">
        <f t="shared" si="23"/>
        <v>0</v>
      </c>
      <c r="W102" s="98">
        <f t="shared" si="24"/>
        <v>0</v>
      </c>
      <c r="X102" s="98">
        <f t="shared" si="25"/>
        <v>0</v>
      </c>
      <c r="Y102" s="104"/>
      <c r="Z102" s="105"/>
    </row>
    <row r="103" spans="1:26" s="101" customFormat="1" ht="40.5" customHeight="1">
      <c r="A103" s="5"/>
      <c r="B103" s="6"/>
      <c r="C103" s="6"/>
      <c r="D103" s="82"/>
      <c r="E103" s="106" t="s">
        <v>673</v>
      </c>
      <c r="F103" s="110"/>
      <c r="G103" s="98">
        <f t="shared" si="13"/>
        <v>193</v>
      </c>
      <c r="H103" s="111">
        <f>+H104+H105+H106</f>
        <v>193</v>
      </c>
      <c r="I103" s="111">
        <f>+I104+I105+I106</f>
        <v>0</v>
      </c>
      <c r="J103" s="98">
        <f t="shared" si="29"/>
        <v>21000</v>
      </c>
      <c r="K103" s="111">
        <f>+K104+K105+K106</f>
        <v>1000</v>
      </c>
      <c r="L103" s="111">
        <f>+L104+L105+L106</f>
        <v>20000</v>
      </c>
      <c r="M103" s="98">
        <f t="shared" si="30"/>
        <v>10000</v>
      </c>
      <c r="N103" s="111">
        <f>+N104+N105+N106</f>
        <v>10000</v>
      </c>
      <c r="O103" s="111">
        <f>+O104+O105+O106</f>
        <v>0</v>
      </c>
      <c r="P103" s="98">
        <f t="shared" si="17"/>
        <v>-11000</v>
      </c>
      <c r="Q103" s="98">
        <f t="shared" si="18"/>
        <v>9000</v>
      </c>
      <c r="R103" s="98">
        <f t="shared" si="19"/>
        <v>-20000</v>
      </c>
      <c r="S103" s="98">
        <f t="shared" si="20"/>
        <v>10000</v>
      </c>
      <c r="T103" s="98">
        <f t="shared" si="21"/>
        <v>10000</v>
      </c>
      <c r="U103" s="98">
        <f t="shared" si="22"/>
        <v>0</v>
      </c>
      <c r="V103" s="98">
        <f t="shared" si="23"/>
        <v>10000</v>
      </c>
      <c r="W103" s="98">
        <f t="shared" si="24"/>
        <v>10000</v>
      </c>
      <c r="X103" s="98">
        <f t="shared" si="25"/>
        <v>0</v>
      </c>
      <c r="Y103" s="99"/>
      <c r="Z103" s="100"/>
    </row>
    <row r="104" spans="1:26" s="101" customFormat="1" ht="10.5">
      <c r="A104" s="5"/>
      <c r="B104" s="6"/>
      <c r="C104" s="6"/>
      <c r="D104" s="82"/>
      <c r="E104" s="109" t="s">
        <v>420</v>
      </c>
      <c r="F104" s="7">
        <v>4239</v>
      </c>
      <c r="G104" s="98">
        <f t="shared" si="13"/>
        <v>193</v>
      </c>
      <c r="H104" s="45">
        <v>193</v>
      </c>
      <c r="I104" s="45"/>
      <c r="J104" s="98">
        <f t="shared" si="29"/>
        <v>0</v>
      </c>
      <c r="K104" s="51"/>
      <c r="L104" s="51"/>
      <c r="M104" s="98">
        <f t="shared" si="30"/>
        <v>0</v>
      </c>
      <c r="N104" s="45"/>
      <c r="O104" s="45"/>
      <c r="P104" s="98">
        <f t="shared" si="17"/>
        <v>0</v>
      </c>
      <c r="Q104" s="98">
        <f t="shared" si="18"/>
        <v>0</v>
      </c>
      <c r="R104" s="98">
        <f t="shared" si="19"/>
        <v>0</v>
      </c>
      <c r="S104" s="98">
        <f t="shared" si="20"/>
        <v>0</v>
      </c>
      <c r="T104" s="98">
        <f t="shared" si="21"/>
        <v>0</v>
      </c>
      <c r="U104" s="98">
        <f t="shared" si="22"/>
        <v>0</v>
      </c>
      <c r="V104" s="98">
        <f t="shared" si="23"/>
        <v>0</v>
      </c>
      <c r="W104" s="98">
        <f t="shared" si="24"/>
        <v>0</v>
      </c>
      <c r="X104" s="98">
        <f t="shared" si="25"/>
        <v>0</v>
      </c>
      <c r="Y104" s="99"/>
      <c r="Z104" s="100"/>
    </row>
    <row r="105" spans="1:26" s="101" customFormat="1" ht="21.75" customHeight="1">
      <c r="A105" s="5"/>
      <c r="B105" s="6"/>
      <c r="C105" s="6"/>
      <c r="D105" s="82"/>
      <c r="E105" s="109" t="s">
        <v>674</v>
      </c>
      <c r="F105" s="7">
        <v>4841</v>
      </c>
      <c r="G105" s="98">
        <f aca="true" t="shared" si="31" ref="G105:G158">+H105+I105</f>
        <v>0</v>
      </c>
      <c r="H105" s="45"/>
      <c r="I105" s="45"/>
      <c r="J105" s="98">
        <f t="shared" si="29"/>
        <v>1000</v>
      </c>
      <c r="K105" s="51">
        <v>1000</v>
      </c>
      <c r="L105" s="51"/>
      <c r="M105" s="98">
        <f t="shared" si="30"/>
        <v>10000</v>
      </c>
      <c r="N105" s="45">
        <v>10000</v>
      </c>
      <c r="O105" s="45"/>
      <c r="P105" s="98">
        <f t="shared" si="17"/>
        <v>9000</v>
      </c>
      <c r="Q105" s="98">
        <f t="shared" si="18"/>
        <v>9000</v>
      </c>
      <c r="R105" s="98">
        <f t="shared" si="19"/>
        <v>0</v>
      </c>
      <c r="S105" s="98">
        <f t="shared" si="20"/>
        <v>10000</v>
      </c>
      <c r="T105" s="98">
        <f t="shared" si="21"/>
        <v>10000</v>
      </c>
      <c r="U105" s="98">
        <f t="shared" si="22"/>
        <v>0</v>
      </c>
      <c r="V105" s="98">
        <f t="shared" si="23"/>
        <v>10000</v>
      </c>
      <c r="W105" s="98">
        <f t="shared" si="24"/>
        <v>10000</v>
      </c>
      <c r="X105" s="98">
        <f t="shared" si="25"/>
        <v>0</v>
      </c>
      <c r="Y105" s="99"/>
      <c r="Z105" s="100"/>
    </row>
    <row r="106" spans="1:26" ht="10.5">
      <c r="A106" s="12"/>
      <c r="B106" s="14"/>
      <c r="C106" s="14"/>
      <c r="D106" s="102"/>
      <c r="E106" s="109" t="s">
        <v>523</v>
      </c>
      <c r="F106" s="7">
        <v>5113</v>
      </c>
      <c r="G106" s="98">
        <f t="shared" si="31"/>
        <v>0</v>
      </c>
      <c r="H106" s="45"/>
      <c r="I106" s="45"/>
      <c r="J106" s="98">
        <f t="shared" si="29"/>
        <v>20000</v>
      </c>
      <c r="K106" s="54"/>
      <c r="L106" s="54">
        <v>20000</v>
      </c>
      <c r="M106" s="98">
        <f t="shared" si="30"/>
        <v>0</v>
      </c>
      <c r="N106" s="45"/>
      <c r="O106" s="45"/>
      <c r="P106" s="98">
        <f t="shared" si="17"/>
        <v>-20000</v>
      </c>
      <c r="Q106" s="98">
        <f t="shared" si="18"/>
        <v>0</v>
      </c>
      <c r="R106" s="98">
        <f t="shared" si="19"/>
        <v>-20000</v>
      </c>
      <c r="S106" s="98">
        <f t="shared" si="20"/>
        <v>0</v>
      </c>
      <c r="T106" s="98">
        <f t="shared" si="21"/>
        <v>0</v>
      </c>
      <c r="U106" s="98">
        <f t="shared" si="22"/>
        <v>0</v>
      </c>
      <c r="V106" s="98">
        <f t="shared" si="23"/>
        <v>0</v>
      </c>
      <c r="W106" s="98">
        <f t="shared" si="24"/>
        <v>0</v>
      </c>
      <c r="X106" s="98">
        <f t="shared" si="25"/>
        <v>0</v>
      </c>
      <c r="Y106" s="104"/>
      <c r="Z106" s="105"/>
    </row>
    <row r="107" spans="1:26" ht="21">
      <c r="A107" s="12">
        <v>2300</v>
      </c>
      <c r="B107" s="119" t="s">
        <v>702</v>
      </c>
      <c r="C107" s="14">
        <v>0</v>
      </c>
      <c r="D107" s="14">
        <v>0</v>
      </c>
      <c r="E107" s="27" t="s">
        <v>703</v>
      </c>
      <c r="F107" s="7"/>
      <c r="G107" s="98">
        <f t="shared" si="31"/>
        <v>2041.2</v>
      </c>
      <c r="H107" s="45">
        <f>+H108+H109</f>
        <v>461.2</v>
      </c>
      <c r="I107" s="45">
        <f>+I108+I109</f>
        <v>1580</v>
      </c>
      <c r="J107" s="98"/>
      <c r="K107" s="54"/>
      <c r="L107" s="54"/>
      <c r="M107" s="98"/>
      <c r="N107" s="45">
        <f>+N108+N109</f>
        <v>0</v>
      </c>
      <c r="O107" s="45">
        <f>+O108+O109</f>
        <v>0</v>
      </c>
      <c r="P107" s="98">
        <f t="shared" si="17"/>
        <v>0</v>
      </c>
      <c r="Q107" s="98">
        <f t="shared" si="18"/>
        <v>0</v>
      </c>
      <c r="R107" s="98">
        <f t="shared" si="19"/>
        <v>0</v>
      </c>
      <c r="S107" s="98">
        <f t="shared" si="20"/>
        <v>0</v>
      </c>
      <c r="T107" s="98">
        <f t="shared" si="21"/>
        <v>0</v>
      </c>
      <c r="U107" s="98">
        <f t="shared" si="22"/>
        <v>0</v>
      </c>
      <c r="V107" s="98">
        <f t="shared" si="23"/>
        <v>0</v>
      </c>
      <c r="W107" s="98">
        <f t="shared" si="24"/>
        <v>0</v>
      </c>
      <c r="X107" s="98">
        <f t="shared" si="25"/>
        <v>0</v>
      </c>
      <c r="Y107" s="104"/>
      <c r="Z107" s="105"/>
    </row>
    <row r="108" spans="1:26" ht="10.5">
      <c r="A108" s="12">
        <v>2321</v>
      </c>
      <c r="B108" s="119" t="s">
        <v>702</v>
      </c>
      <c r="C108" s="119" t="s">
        <v>218</v>
      </c>
      <c r="D108" s="120" t="s">
        <v>193</v>
      </c>
      <c r="E108" s="109" t="s">
        <v>420</v>
      </c>
      <c r="F108" s="7">
        <v>4239</v>
      </c>
      <c r="G108" s="98">
        <f t="shared" si="31"/>
        <v>461.2</v>
      </c>
      <c r="H108" s="45">
        <v>461.2</v>
      </c>
      <c r="I108" s="45"/>
      <c r="J108" s="98"/>
      <c r="K108" s="54"/>
      <c r="L108" s="54"/>
      <c r="M108" s="98"/>
      <c r="N108" s="45"/>
      <c r="O108" s="45"/>
      <c r="P108" s="98">
        <f t="shared" si="17"/>
        <v>0</v>
      </c>
      <c r="Q108" s="98">
        <f t="shared" si="18"/>
        <v>0</v>
      </c>
      <c r="R108" s="98">
        <f t="shared" si="19"/>
        <v>0</v>
      </c>
      <c r="S108" s="98">
        <f t="shared" si="20"/>
        <v>0</v>
      </c>
      <c r="T108" s="98">
        <f t="shared" si="21"/>
        <v>0</v>
      </c>
      <c r="U108" s="98">
        <f t="shared" si="22"/>
        <v>0</v>
      </c>
      <c r="V108" s="98">
        <f t="shared" si="23"/>
        <v>0</v>
      </c>
      <c r="W108" s="98">
        <f t="shared" si="24"/>
        <v>0</v>
      </c>
      <c r="X108" s="98">
        <f t="shared" si="25"/>
        <v>0</v>
      </c>
      <c r="Y108" s="104"/>
      <c r="Z108" s="105"/>
    </row>
    <row r="109" spans="1:26" ht="10.5">
      <c r="A109" s="12"/>
      <c r="B109" s="119"/>
      <c r="C109" s="119"/>
      <c r="D109" s="120"/>
      <c r="E109" s="109" t="s">
        <v>523</v>
      </c>
      <c r="F109" s="7">
        <v>5113</v>
      </c>
      <c r="G109" s="98">
        <f t="shared" si="31"/>
        <v>1580</v>
      </c>
      <c r="H109" s="45"/>
      <c r="I109" s="45">
        <v>1580</v>
      </c>
      <c r="J109" s="98"/>
      <c r="K109" s="54"/>
      <c r="L109" s="54"/>
      <c r="M109" s="98"/>
      <c r="N109" s="45"/>
      <c r="O109" s="45"/>
      <c r="P109" s="98">
        <f t="shared" si="17"/>
        <v>0</v>
      </c>
      <c r="Q109" s="98">
        <f t="shared" si="18"/>
        <v>0</v>
      </c>
      <c r="R109" s="98">
        <f t="shared" si="19"/>
        <v>0</v>
      </c>
      <c r="S109" s="98">
        <f t="shared" si="20"/>
        <v>0</v>
      </c>
      <c r="T109" s="98">
        <f t="shared" si="21"/>
        <v>0</v>
      </c>
      <c r="U109" s="98">
        <f t="shared" si="22"/>
        <v>0</v>
      </c>
      <c r="V109" s="98">
        <f t="shared" si="23"/>
        <v>0</v>
      </c>
      <c r="W109" s="98">
        <f t="shared" si="24"/>
        <v>0</v>
      </c>
      <c r="X109" s="98">
        <f t="shared" si="25"/>
        <v>0</v>
      </c>
      <c r="Y109" s="104"/>
      <c r="Z109" s="105"/>
    </row>
    <row r="110" spans="1:26" s="101" customFormat="1" ht="19.5" customHeight="1">
      <c r="A110" s="10" t="s">
        <v>227</v>
      </c>
      <c r="B110" s="7" t="s">
        <v>228</v>
      </c>
      <c r="C110" s="7" t="s">
        <v>194</v>
      </c>
      <c r="D110" s="7" t="s">
        <v>194</v>
      </c>
      <c r="E110" s="96" t="s">
        <v>229</v>
      </c>
      <c r="F110" s="97"/>
      <c r="G110" s="98">
        <f t="shared" si="31"/>
        <v>274516.2000000001</v>
      </c>
      <c r="H110" s="98">
        <f>+H112+H125+H135+H147</f>
        <v>25583.3</v>
      </c>
      <c r="I110" s="98">
        <f>+I112+I125+I135+I147</f>
        <v>248932.90000000014</v>
      </c>
      <c r="J110" s="98">
        <f t="shared" si="29"/>
        <v>328161.19999999995</v>
      </c>
      <c r="K110" s="98">
        <f>+K112+K125+K135+K147</f>
        <v>0</v>
      </c>
      <c r="L110" s="98">
        <f>+L112+L125+L135+L147</f>
        <v>328161.19999999995</v>
      </c>
      <c r="M110" s="98">
        <f t="shared" si="30"/>
        <v>-116022</v>
      </c>
      <c r="N110" s="98">
        <f>+N112+N125+N135+N147</f>
        <v>0</v>
      </c>
      <c r="O110" s="98">
        <f>+O112+O125+O135+O147</f>
        <v>-116022</v>
      </c>
      <c r="P110" s="98">
        <f t="shared" si="17"/>
        <v>-444183.19999999995</v>
      </c>
      <c r="Q110" s="98">
        <f t="shared" si="18"/>
        <v>0</v>
      </c>
      <c r="R110" s="98">
        <f t="shared" si="19"/>
        <v>-444183.19999999995</v>
      </c>
      <c r="S110" s="98">
        <f t="shared" si="20"/>
        <v>-116022</v>
      </c>
      <c r="T110" s="98">
        <f t="shared" si="21"/>
        <v>0</v>
      </c>
      <c r="U110" s="98">
        <f t="shared" si="22"/>
        <v>-116022</v>
      </c>
      <c r="V110" s="98">
        <f t="shared" si="23"/>
        <v>-116022</v>
      </c>
      <c r="W110" s="98">
        <f t="shared" si="24"/>
        <v>0</v>
      </c>
      <c r="X110" s="98">
        <f t="shared" si="25"/>
        <v>-116022</v>
      </c>
      <c r="Y110" s="99"/>
      <c r="Z110" s="100"/>
    </row>
    <row r="111" spans="1:26" ht="12.75" customHeight="1">
      <c r="A111" s="12"/>
      <c r="B111" s="14"/>
      <c r="C111" s="14"/>
      <c r="D111" s="102"/>
      <c r="E111" s="103" t="s">
        <v>5</v>
      </c>
      <c r="F111" s="102"/>
      <c r="G111" s="98">
        <f t="shared" si="31"/>
        <v>0</v>
      </c>
      <c r="H111" s="45"/>
      <c r="I111" s="45"/>
      <c r="J111" s="98">
        <f t="shared" si="29"/>
        <v>0</v>
      </c>
      <c r="K111" s="54"/>
      <c r="L111" s="54"/>
      <c r="M111" s="98">
        <f t="shared" si="30"/>
        <v>0</v>
      </c>
      <c r="N111" s="45"/>
      <c r="O111" s="45"/>
      <c r="P111" s="98">
        <f t="shared" si="17"/>
        <v>0</v>
      </c>
      <c r="Q111" s="98">
        <f t="shared" si="18"/>
        <v>0</v>
      </c>
      <c r="R111" s="98">
        <f t="shared" si="19"/>
        <v>0</v>
      </c>
      <c r="S111" s="98">
        <f t="shared" si="20"/>
        <v>0</v>
      </c>
      <c r="T111" s="98">
        <f t="shared" si="21"/>
        <v>0</v>
      </c>
      <c r="U111" s="98">
        <f t="shared" si="22"/>
        <v>0</v>
      </c>
      <c r="V111" s="98">
        <f t="shared" si="23"/>
        <v>0</v>
      </c>
      <c r="W111" s="98">
        <f t="shared" si="24"/>
        <v>0</v>
      </c>
      <c r="X111" s="98">
        <f t="shared" si="25"/>
        <v>0</v>
      </c>
      <c r="Y111" s="104"/>
      <c r="Z111" s="105"/>
    </row>
    <row r="112" spans="1:26" s="101" customFormat="1" ht="30.75" customHeight="1">
      <c r="A112" s="10" t="s">
        <v>234</v>
      </c>
      <c r="B112" s="7" t="s">
        <v>228</v>
      </c>
      <c r="C112" s="7" t="s">
        <v>221</v>
      </c>
      <c r="D112" s="7" t="s">
        <v>194</v>
      </c>
      <c r="E112" s="106" t="s">
        <v>235</v>
      </c>
      <c r="F112" s="107"/>
      <c r="G112" s="98">
        <f t="shared" si="31"/>
        <v>16747.7</v>
      </c>
      <c r="H112" s="108">
        <f>+H114+H117+H119</f>
        <v>3669.6</v>
      </c>
      <c r="I112" s="108">
        <f>+I114+I117+I119</f>
        <v>13078.1</v>
      </c>
      <c r="J112" s="98">
        <f t="shared" si="29"/>
        <v>8608</v>
      </c>
      <c r="K112" s="108">
        <f>+K119</f>
        <v>0</v>
      </c>
      <c r="L112" s="108">
        <f>+L119</f>
        <v>8608</v>
      </c>
      <c r="M112" s="98">
        <f t="shared" si="30"/>
        <v>76923</v>
      </c>
      <c r="N112" s="108">
        <f>+N114+N117+N119</f>
        <v>0</v>
      </c>
      <c r="O112" s="108">
        <f>+O114+O117+O119</f>
        <v>76923</v>
      </c>
      <c r="P112" s="98">
        <f t="shared" si="17"/>
        <v>68315</v>
      </c>
      <c r="Q112" s="98">
        <f t="shared" si="18"/>
        <v>0</v>
      </c>
      <c r="R112" s="98">
        <f t="shared" si="19"/>
        <v>68315</v>
      </c>
      <c r="S112" s="98">
        <f t="shared" si="20"/>
        <v>76923</v>
      </c>
      <c r="T112" s="98">
        <f t="shared" si="21"/>
        <v>0</v>
      </c>
      <c r="U112" s="98">
        <f t="shared" si="22"/>
        <v>76923</v>
      </c>
      <c r="V112" s="98">
        <f t="shared" si="23"/>
        <v>76923</v>
      </c>
      <c r="W112" s="98">
        <f t="shared" si="24"/>
        <v>0</v>
      </c>
      <c r="X112" s="98">
        <f t="shared" si="25"/>
        <v>76923</v>
      </c>
      <c r="Y112" s="99"/>
      <c r="Z112" s="100"/>
    </row>
    <row r="113" spans="1:26" ht="12.75" customHeight="1">
      <c r="A113" s="12"/>
      <c r="B113" s="14"/>
      <c r="C113" s="14"/>
      <c r="D113" s="102"/>
      <c r="E113" s="103" t="s">
        <v>199</v>
      </c>
      <c r="F113" s="102"/>
      <c r="G113" s="98">
        <f t="shared" si="31"/>
        <v>0</v>
      </c>
      <c r="H113" s="45"/>
      <c r="I113" s="45"/>
      <c r="J113" s="98">
        <f t="shared" si="29"/>
        <v>0</v>
      </c>
      <c r="K113" s="54"/>
      <c r="L113" s="54"/>
      <c r="M113" s="98">
        <f t="shared" si="30"/>
        <v>0</v>
      </c>
      <c r="N113" s="45"/>
      <c r="O113" s="45"/>
      <c r="P113" s="98">
        <f t="shared" si="17"/>
        <v>0</v>
      </c>
      <c r="Q113" s="98">
        <f t="shared" si="18"/>
        <v>0</v>
      </c>
      <c r="R113" s="98">
        <f t="shared" si="19"/>
        <v>0</v>
      </c>
      <c r="S113" s="98">
        <f t="shared" si="20"/>
        <v>0</v>
      </c>
      <c r="T113" s="98">
        <f t="shared" si="21"/>
        <v>0</v>
      </c>
      <c r="U113" s="98">
        <f t="shared" si="22"/>
        <v>0</v>
      </c>
      <c r="V113" s="98">
        <f t="shared" si="23"/>
        <v>0</v>
      </c>
      <c r="W113" s="98">
        <f t="shared" si="24"/>
        <v>0</v>
      </c>
      <c r="X113" s="98">
        <f t="shared" si="25"/>
        <v>0</v>
      </c>
      <c r="Y113" s="104"/>
      <c r="Z113" s="105"/>
    </row>
    <row r="114" spans="1:26" ht="12.75" customHeight="1">
      <c r="A114" s="12">
        <v>2421</v>
      </c>
      <c r="B114" s="119" t="s">
        <v>228</v>
      </c>
      <c r="C114" s="119" t="s">
        <v>218</v>
      </c>
      <c r="D114" s="120" t="s">
        <v>193</v>
      </c>
      <c r="E114" s="13" t="s">
        <v>706</v>
      </c>
      <c r="F114" s="102"/>
      <c r="G114" s="98">
        <f t="shared" si="31"/>
        <v>4394.6</v>
      </c>
      <c r="H114" s="45">
        <f>+H115+H116</f>
        <v>3184.6</v>
      </c>
      <c r="I114" s="45">
        <f>+I115+I116</f>
        <v>1210</v>
      </c>
      <c r="J114" s="98"/>
      <c r="K114" s="54"/>
      <c r="L114" s="54"/>
      <c r="M114" s="98"/>
      <c r="N114" s="45">
        <f>+N115+N116</f>
        <v>0</v>
      </c>
      <c r="O114" s="45">
        <f>+O115+O116</f>
        <v>0</v>
      </c>
      <c r="P114" s="98">
        <f t="shared" si="17"/>
        <v>0</v>
      </c>
      <c r="Q114" s="98">
        <f t="shared" si="18"/>
        <v>0</v>
      </c>
      <c r="R114" s="98">
        <f t="shared" si="19"/>
        <v>0</v>
      </c>
      <c r="S114" s="98">
        <f t="shared" si="20"/>
        <v>0</v>
      </c>
      <c r="T114" s="98">
        <f t="shared" si="21"/>
        <v>0</v>
      </c>
      <c r="U114" s="98">
        <f t="shared" si="22"/>
        <v>0</v>
      </c>
      <c r="V114" s="98">
        <f t="shared" si="23"/>
        <v>0</v>
      </c>
      <c r="W114" s="98">
        <f t="shared" si="24"/>
        <v>0</v>
      </c>
      <c r="X114" s="98">
        <f t="shared" si="25"/>
        <v>0</v>
      </c>
      <c r="Y114" s="104"/>
      <c r="Z114" s="105"/>
    </row>
    <row r="115" spans="1:26" ht="12.75" customHeight="1">
      <c r="A115" s="12"/>
      <c r="B115" s="14"/>
      <c r="C115" s="14"/>
      <c r="D115" s="102"/>
      <c r="E115" s="109" t="s">
        <v>420</v>
      </c>
      <c r="F115" s="7">
        <v>4239</v>
      </c>
      <c r="G115" s="98">
        <f t="shared" si="31"/>
        <v>3184.6</v>
      </c>
      <c r="H115" s="45">
        <v>3184.6</v>
      </c>
      <c r="I115" s="45"/>
      <c r="J115" s="98"/>
      <c r="K115" s="54"/>
      <c r="L115" s="54"/>
      <c r="M115" s="98"/>
      <c r="N115" s="45"/>
      <c r="O115" s="45"/>
      <c r="P115" s="98">
        <f t="shared" si="17"/>
        <v>0</v>
      </c>
      <c r="Q115" s="98">
        <f t="shared" si="18"/>
        <v>0</v>
      </c>
      <c r="R115" s="98">
        <f t="shared" si="19"/>
        <v>0</v>
      </c>
      <c r="S115" s="98">
        <f t="shared" si="20"/>
        <v>0</v>
      </c>
      <c r="T115" s="98">
        <f t="shared" si="21"/>
        <v>0</v>
      </c>
      <c r="U115" s="98">
        <f t="shared" si="22"/>
        <v>0</v>
      </c>
      <c r="V115" s="98">
        <f t="shared" si="23"/>
        <v>0</v>
      </c>
      <c r="W115" s="98">
        <f t="shared" si="24"/>
        <v>0</v>
      </c>
      <c r="X115" s="98">
        <f t="shared" si="25"/>
        <v>0</v>
      </c>
      <c r="Y115" s="104"/>
      <c r="Z115" s="105"/>
    </row>
    <row r="116" spans="1:26" ht="12.75" customHeight="1">
      <c r="A116" s="12"/>
      <c r="B116" s="14"/>
      <c r="C116" s="14"/>
      <c r="D116" s="102"/>
      <c r="E116" s="109" t="s">
        <v>523</v>
      </c>
      <c r="F116" s="7">
        <v>5113</v>
      </c>
      <c r="G116" s="98">
        <f t="shared" si="31"/>
        <v>1210</v>
      </c>
      <c r="H116" s="45"/>
      <c r="I116" s="45">
        <v>1210</v>
      </c>
      <c r="J116" s="98"/>
      <c r="K116" s="54"/>
      <c r="L116" s="54"/>
      <c r="M116" s="98"/>
      <c r="N116" s="45"/>
      <c r="O116" s="45"/>
      <c r="P116" s="98">
        <f t="shared" si="17"/>
        <v>0</v>
      </c>
      <c r="Q116" s="98">
        <f t="shared" si="18"/>
        <v>0</v>
      </c>
      <c r="R116" s="98">
        <f t="shared" si="19"/>
        <v>0</v>
      </c>
      <c r="S116" s="98">
        <f t="shared" si="20"/>
        <v>0</v>
      </c>
      <c r="T116" s="98">
        <f t="shared" si="21"/>
        <v>0</v>
      </c>
      <c r="U116" s="98">
        <f t="shared" si="22"/>
        <v>0</v>
      </c>
      <c r="V116" s="98">
        <f t="shared" si="23"/>
        <v>0</v>
      </c>
      <c r="W116" s="98">
        <f t="shared" si="24"/>
        <v>0</v>
      </c>
      <c r="X116" s="98">
        <f t="shared" si="25"/>
        <v>0</v>
      </c>
      <c r="Y116" s="104"/>
      <c r="Z116" s="105"/>
    </row>
    <row r="117" spans="1:26" ht="12.75" customHeight="1">
      <c r="A117" s="12">
        <v>2422</v>
      </c>
      <c r="B117" s="119" t="s">
        <v>228</v>
      </c>
      <c r="C117" s="119" t="s">
        <v>218</v>
      </c>
      <c r="D117" s="120" t="s">
        <v>218</v>
      </c>
      <c r="E117" s="13" t="s">
        <v>707</v>
      </c>
      <c r="F117" s="7"/>
      <c r="G117" s="98">
        <f t="shared" si="31"/>
        <v>125</v>
      </c>
      <c r="H117" s="45">
        <f>+H118</f>
        <v>125</v>
      </c>
      <c r="I117" s="45">
        <f>+I118</f>
        <v>0</v>
      </c>
      <c r="J117" s="98"/>
      <c r="K117" s="54"/>
      <c r="L117" s="54"/>
      <c r="M117" s="98"/>
      <c r="N117" s="45">
        <f>+N118</f>
        <v>0</v>
      </c>
      <c r="O117" s="45">
        <f>+O118</f>
        <v>0</v>
      </c>
      <c r="P117" s="98">
        <f t="shared" si="17"/>
        <v>0</v>
      </c>
      <c r="Q117" s="98">
        <f t="shared" si="18"/>
        <v>0</v>
      </c>
      <c r="R117" s="98">
        <f t="shared" si="19"/>
        <v>0</v>
      </c>
      <c r="S117" s="98">
        <f t="shared" si="20"/>
        <v>0</v>
      </c>
      <c r="T117" s="98">
        <f t="shared" si="21"/>
        <v>0</v>
      </c>
      <c r="U117" s="98">
        <f t="shared" si="22"/>
        <v>0</v>
      </c>
      <c r="V117" s="98">
        <f t="shared" si="23"/>
        <v>0</v>
      </c>
      <c r="W117" s="98">
        <f t="shared" si="24"/>
        <v>0</v>
      </c>
      <c r="X117" s="98">
        <f t="shared" si="25"/>
        <v>0</v>
      </c>
      <c r="Y117" s="104"/>
      <c r="Z117" s="105"/>
    </row>
    <row r="118" spans="1:26" ht="12.75" customHeight="1">
      <c r="A118" s="12"/>
      <c r="B118" s="14"/>
      <c r="C118" s="14"/>
      <c r="D118" s="102"/>
      <c r="E118" s="109" t="s">
        <v>420</v>
      </c>
      <c r="F118" s="7">
        <v>4239</v>
      </c>
      <c r="G118" s="98">
        <f t="shared" si="31"/>
        <v>125</v>
      </c>
      <c r="H118" s="45">
        <v>125</v>
      </c>
      <c r="I118" s="45"/>
      <c r="J118" s="98"/>
      <c r="K118" s="54"/>
      <c r="L118" s="54"/>
      <c r="M118" s="98"/>
      <c r="N118" s="45"/>
      <c r="O118" s="45"/>
      <c r="P118" s="98">
        <f t="shared" si="17"/>
        <v>0</v>
      </c>
      <c r="Q118" s="98">
        <f t="shared" si="18"/>
        <v>0</v>
      </c>
      <c r="R118" s="98">
        <f t="shared" si="19"/>
        <v>0</v>
      </c>
      <c r="S118" s="98">
        <f t="shared" si="20"/>
        <v>0</v>
      </c>
      <c r="T118" s="98">
        <f t="shared" si="21"/>
        <v>0</v>
      </c>
      <c r="U118" s="98">
        <f t="shared" si="22"/>
        <v>0</v>
      </c>
      <c r="V118" s="98">
        <f t="shared" si="23"/>
        <v>0</v>
      </c>
      <c r="W118" s="98">
        <f t="shared" si="24"/>
        <v>0</v>
      </c>
      <c r="X118" s="98">
        <f t="shared" si="25"/>
        <v>0</v>
      </c>
      <c r="Y118" s="104"/>
      <c r="Z118" s="105"/>
    </row>
    <row r="119" spans="1:26" ht="12.75" customHeight="1">
      <c r="A119" s="25" t="s">
        <v>236</v>
      </c>
      <c r="B119" s="26" t="s">
        <v>228</v>
      </c>
      <c r="C119" s="26" t="s">
        <v>221</v>
      </c>
      <c r="D119" s="26" t="s">
        <v>237</v>
      </c>
      <c r="E119" s="103" t="s">
        <v>238</v>
      </c>
      <c r="F119" s="102"/>
      <c r="G119" s="98">
        <f t="shared" si="31"/>
        <v>12228.1</v>
      </c>
      <c r="H119" s="54">
        <f>+H121</f>
        <v>360</v>
      </c>
      <c r="I119" s="54">
        <f>+I121</f>
        <v>11868.1</v>
      </c>
      <c r="J119" s="98">
        <f t="shared" si="29"/>
        <v>8608</v>
      </c>
      <c r="K119" s="54">
        <f>+K121</f>
        <v>0</v>
      </c>
      <c r="L119" s="54">
        <f>+L121</f>
        <v>8608</v>
      </c>
      <c r="M119" s="98">
        <f t="shared" si="30"/>
        <v>76923</v>
      </c>
      <c r="N119" s="54">
        <f>+N121</f>
        <v>0</v>
      </c>
      <c r="O119" s="54">
        <f>+O121</f>
        <v>76923</v>
      </c>
      <c r="P119" s="98">
        <f t="shared" si="17"/>
        <v>68315</v>
      </c>
      <c r="Q119" s="98">
        <f t="shared" si="18"/>
        <v>0</v>
      </c>
      <c r="R119" s="98">
        <f t="shared" si="19"/>
        <v>68315</v>
      </c>
      <c r="S119" s="98">
        <f t="shared" si="20"/>
        <v>76923</v>
      </c>
      <c r="T119" s="98">
        <f t="shared" si="21"/>
        <v>0</v>
      </c>
      <c r="U119" s="98">
        <f t="shared" si="22"/>
        <v>76923</v>
      </c>
      <c r="V119" s="98">
        <f t="shared" si="23"/>
        <v>76923</v>
      </c>
      <c r="W119" s="98">
        <f t="shared" si="24"/>
        <v>0</v>
      </c>
      <c r="X119" s="98">
        <f t="shared" si="25"/>
        <v>76923</v>
      </c>
      <c r="Y119" s="104"/>
      <c r="Z119" s="105"/>
    </row>
    <row r="120" spans="1:26" ht="12.75" customHeight="1">
      <c r="A120" s="12"/>
      <c r="B120" s="14"/>
      <c r="C120" s="14"/>
      <c r="D120" s="102"/>
      <c r="E120" s="103" t="s">
        <v>5</v>
      </c>
      <c r="F120" s="102"/>
      <c r="G120" s="98">
        <f t="shared" si="31"/>
        <v>0</v>
      </c>
      <c r="H120" s="45"/>
      <c r="I120" s="45"/>
      <c r="J120" s="98">
        <f t="shared" si="29"/>
        <v>0</v>
      </c>
      <c r="K120" s="54"/>
      <c r="L120" s="54"/>
      <c r="M120" s="98">
        <f t="shared" si="30"/>
        <v>0</v>
      </c>
      <c r="N120" s="45"/>
      <c r="O120" s="45"/>
      <c r="P120" s="98">
        <f t="shared" si="17"/>
        <v>0</v>
      </c>
      <c r="Q120" s="98">
        <f t="shared" si="18"/>
        <v>0</v>
      </c>
      <c r="R120" s="98">
        <f t="shared" si="19"/>
        <v>0</v>
      </c>
      <c r="S120" s="98">
        <f t="shared" si="20"/>
        <v>0</v>
      </c>
      <c r="T120" s="98">
        <f t="shared" si="21"/>
        <v>0</v>
      </c>
      <c r="U120" s="98">
        <f t="shared" si="22"/>
        <v>0</v>
      </c>
      <c r="V120" s="98">
        <f t="shared" si="23"/>
        <v>0</v>
      </c>
      <c r="W120" s="98">
        <f t="shared" si="24"/>
        <v>0</v>
      </c>
      <c r="X120" s="98">
        <f t="shared" si="25"/>
        <v>0</v>
      </c>
      <c r="Y120" s="104"/>
      <c r="Z120" s="105"/>
    </row>
    <row r="121" spans="1:26" s="101" customFormat="1" ht="24.75" customHeight="1">
      <c r="A121" s="5"/>
      <c r="B121" s="6"/>
      <c r="C121" s="6"/>
      <c r="D121" s="82"/>
      <c r="E121" s="106" t="s">
        <v>596</v>
      </c>
      <c r="F121" s="110"/>
      <c r="G121" s="98">
        <f t="shared" si="31"/>
        <v>12228.1</v>
      </c>
      <c r="H121" s="111">
        <f>+H122+H123+H124</f>
        <v>360</v>
      </c>
      <c r="I121" s="111">
        <f>+I122+I123+I124</f>
        <v>11868.1</v>
      </c>
      <c r="J121" s="98">
        <f t="shared" si="29"/>
        <v>8608</v>
      </c>
      <c r="K121" s="111">
        <f>+K123+K124</f>
        <v>0</v>
      </c>
      <c r="L121" s="111">
        <f>+L123+L124</f>
        <v>8608</v>
      </c>
      <c r="M121" s="98">
        <f t="shared" si="30"/>
        <v>76923</v>
      </c>
      <c r="N121" s="111">
        <f>+N122+N123+N124</f>
        <v>0</v>
      </c>
      <c r="O121" s="111">
        <f>+O122+O123+O124</f>
        <v>76923</v>
      </c>
      <c r="P121" s="98">
        <f t="shared" si="17"/>
        <v>68315</v>
      </c>
      <c r="Q121" s="98">
        <f t="shared" si="18"/>
        <v>0</v>
      </c>
      <c r="R121" s="98">
        <f t="shared" si="19"/>
        <v>68315</v>
      </c>
      <c r="S121" s="98">
        <f t="shared" si="20"/>
        <v>76923</v>
      </c>
      <c r="T121" s="98">
        <f t="shared" si="21"/>
        <v>0</v>
      </c>
      <c r="U121" s="98">
        <f t="shared" si="22"/>
        <v>76923</v>
      </c>
      <c r="V121" s="98">
        <f t="shared" si="23"/>
        <v>76923</v>
      </c>
      <c r="W121" s="98">
        <f t="shared" si="24"/>
        <v>0</v>
      </c>
      <c r="X121" s="98">
        <f t="shared" si="25"/>
        <v>76923</v>
      </c>
      <c r="Y121" s="99"/>
      <c r="Z121" s="100"/>
    </row>
    <row r="122" spans="1:26" s="101" customFormat="1" ht="24.75" customHeight="1">
      <c r="A122" s="5"/>
      <c r="B122" s="6"/>
      <c r="C122" s="6"/>
      <c r="D122" s="82"/>
      <c r="E122" s="109" t="s">
        <v>420</v>
      </c>
      <c r="F122" s="7">
        <v>4239</v>
      </c>
      <c r="G122" s="98">
        <f t="shared" si="31"/>
        <v>360</v>
      </c>
      <c r="H122" s="111">
        <v>360</v>
      </c>
      <c r="I122" s="111"/>
      <c r="J122" s="98"/>
      <c r="K122" s="111"/>
      <c r="L122" s="111"/>
      <c r="M122" s="98"/>
      <c r="N122" s="111"/>
      <c r="O122" s="111"/>
      <c r="P122" s="98">
        <f t="shared" si="17"/>
        <v>0</v>
      </c>
      <c r="Q122" s="98">
        <f t="shared" si="18"/>
        <v>0</v>
      </c>
      <c r="R122" s="98">
        <f t="shared" si="19"/>
        <v>0</v>
      </c>
      <c r="S122" s="98">
        <f t="shared" si="20"/>
        <v>0</v>
      </c>
      <c r="T122" s="98">
        <f t="shared" si="21"/>
        <v>0</v>
      </c>
      <c r="U122" s="98">
        <f t="shared" si="22"/>
        <v>0</v>
      </c>
      <c r="V122" s="98">
        <f t="shared" si="23"/>
        <v>0</v>
      </c>
      <c r="W122" s="98">
        <f t="shared" si="24"/>
        <v>0</v>
      </c>
      <c r="X122" s="98">
        <f t="shared" si="25"/>
        <v>0</v>
      </c>
      <c r="Y122" s="99"/>
      <c r="Z122" s="100"/>
    </row>
    <row r="123" spans="1:26" s="101" customFormat="1" ht="22.5" customHeight="1">
      <c r="A123" s="5"/>
      <c r="B123" s="6"/>
      <c r="C123" s="6"/>
      <c r="D123" s="82"/>
      <c r="E123" s="109" t="s">
        <v>523</v>
      </c>
      <c r="F123" s="7">
        <v>5113</v>
      </c>
      <c r="G123" s="98">
        <f t="shared" si="31"/>
        <v>11118.1</v>
      </c>
      <c r="H123" s="45"/>
      <c r="I123" s="111">
        <f>11868.1-750</f>
        <v>11118.1</v>
      </c>
      <c r="J123" s="98">
        <f t="shared" si="29"/>
        <v>8000</v>
      </c>
      <c r="K123" s="51"/>
      <c r="L123" s="51">
        <v>8000</v>
      </c>
      <c r="M123" s="98">
        <f t="shared" si="30"/>
        <v>73000</v>
      </c>
      <c r="N123" s="45"/>
      <c r="O123" s="111">
        <v>73000</v>
      </c>
      <c r="P123" s="98">
        <f t="shared" si="17"/>
        <v>65000</v>
      </c>
      <c r="Q123" s="98">
        <f t="shared" si="18"/>
        <v>0</v>
      </c>
      <c r="R123" s="98">
        <f t="shared" si="19"/>
        <v>65000</v>
      </c>
      <c r="S123" s="98">
        <f t="shared" si="20"/>
        <v>73000</v>
      </c>
      <c r="T123" s="98">
        <f t="shared" si="21"/>
        <v>0</v>
      </c>
      <c r="U123" s="98">
        <f t="shared" si="22"/>
        <v>73000</v>
      </c>
      <c r="V123" s="98">
        <f t="shared" si="23"/>
        <v>73000</v>
      </c>
      <c r="W123" s="98">
        <f t="shared" si="24"/>
        <v>0</v>
      </c>
      <c r="X123" s="98">
        <f t="shared" si="25"/>
        <v>73000</v>
      </c>
      <c r="Y123" s="99"/>
      <c r="Z123" s="100"/>
    </row>
    <row r="124" spans="1:26" s="101" customFormat="1" ht="22.5" customHeight="1">
      <c r="A124" s="5"/>
      <c r="B124" s="6"/>
      <c r="C124" s="6"/>
      <c r="D124" s="82"/>
      <c r="E124" s="109" t="s">
        <v>538</v>
      </c>
      <c r="F124" s="7">
        <v>5134</v>
      </c>
      <c r="G124" s="98">
        <f t="shared" si="31"/>
        <v>750</v>
      </c>
      <c r="H124" s="45"/>
      <c r="I124" s="45">
        <v>750</v>
      </c>
      <c r="J124" s="98">
        <f t="shared" si="29"/>
        <v>608</v>
      </c>
      <c r="K124" s="51"/>
      <c r="L124" s="51">
        <v>608</v>
      </c>
      <c r="M124" s="98">
        <f t="shared" si="30"/>
        <v>3923</v>
      </c>
      <c r="N124" s="45"/>
      <c r="O124" s="45">
        <v>3923</v>
      </c>
      <c r="P124" s="98">
        <f t="shared" si="17"/>
        <v>3315</v>
      </c>
      <c r="Q124" s="98">
        <f t="shared" si="18"/>
        <v>0</v>
      </c>
      <c r="R124" s="98">
        <f t="shared" si="19"/>
        <v>3315</v>
      </c>
      <c r="S124" s="98">
        <f t="shared" si="20"/>
        <v>3923</v>
      </c>
      <c r="T124" s="98">
        <f t="shared" si="21"/>
        <v>0</v>
      </c>
      <c r="U124" s="98">
        <f t="shared" si="22"/>
        <v>3923</v>
      </c>
      <c r="V124" s="98">
        <f t="shared" si="23"/>
        <v>3923</v>
      </c>
      <c r="W124" s="98">
        <f t="shared" si="24"/>
        <v>0</v>
      </c>
      <c r="X124" s="98">
        <f t="shared" si="25"/>
        <v>3923</v>
      </c>
      <c r="Y124" s="99"/>
      <c r="Z124" s="100"/>
    </row>
    <row r="125" spans="1:26" s="101" customFormat="1" ht="30" customHeight="1">
      <c r="A125" s="10" t="s">
        <v>239</v>
      </c>
      <c r="B125" s="7" t="s">
        <v>228</v>
      </c>
      <c r="C125" s="7" t="s">
        <v>203</v>
      </c>
      <c r="D125" s="7" t="s">
        <v>194</v>
      </c>
      <c r="E125" s="106" t="s">
        <v>240</v>
      </c>
      <c r="F125" s="107"/>
      <c r="G125" s="98">
        <f t="shared" si="31"/>
        <v>38725.2</v>
      </c>
      <c r="H125" s="108">
        <f>+H127</f>
        <v>1450.6</v>
      </c>
      <c r="I125" s="108">
        <f>+I127</f>
        <v>37274.6</v>
      </c>
      <c r="J125" s="98">
        <f t="shared" si="29"/>
        <v>15500</v>
      </c>
      <c r="K125" s="108">
        <f>+K127</f>
        <v>0</v>
      </c>
      <c r="L125" s="108">
        <f>+L127</f>
        <v>15500</v>
      </c>
      <c r="M125" s="98">
        <f t="shared" si="30"/>
        <v>21120</v>
      </c>
      <c r="N125" s="108">
        <f>+N127</f>
        <v>0</v>
      </c>
      <c r="O125" s="108">
        <f>+O127</f>
        <v>21120</v>
      </c>
      <c r="P125" s="98">
        <f t="shared" si="17"/>
        <v>5620</v>
      </c>
      <c r="Q125" s="98">
        <f t="shared" si="18"/>
        <v>0</v>
      </c>
      <c r="R125" s="98">
        <f t="shared" si="19"/>
        <v>5620</v>
      </c>
      <c r="S125" s="98">
        <f t="shared" si="20"/>
        <v>21120</v>
      </c>
      <c r="T125" s="98">
        <f t="shared" si="21"/>
        <v>0</v>
      </c>
      <c r="U125" s="98">
        <f t="shared" si="22"/>
        <v>21120</v>
      </c>
      <c r="V125" s="98">
        <f t="shared" si="23"/>
        <v>21120</v>
      </c>
      <c r="W125" s="98">
        <f t="shared" si="24"/>
        <v>0</v>
      </c>
      <c r="X125" s="98">
        <f t="shared" si="25"/>
        <v>21120</v>
      </c>
      <c r="Y125" s="99"/>
      <c r="Z125" s="100"/>
    </row>
    <row r="126" spans="1:26" ht="12.75" customHeight="1">
      <c r="A126" s="12"/>
      <c r="B126" s="14"/>
      <c r="C126" s="14"/>
      <c r="D126" s="102"/>
      <c r="E126" s="103" t="s">
        <v>199</v>
      </c>
      <c r="F126" s="102"/>
      <c r="G126" s="98">
        <f t="shared" si="31"/>
        <v>0</v>
      </c>
      <c r="H126" s="45"/>
      <c r="I126" s="45"/>
      <c r="J126" s="98">
        <f t="shared" si="29"/>
        <v>0</v>
      </c>
      <c r="K126" s="54"/>
      <c r="L126" s="54"/>
      <c r="M126" s="98">
        <f t="shared" si="30"/>
        <v>0</v>
      </c>
      <c r="N126" s="45"/>
      <c r="O126" s="45"/>
      <c r="P126" s="98">
        <f t="shared" si="17"/>
        <v>0</v>
      </c>
      <c r="Q126" s="98">
        <f t="shared" si="18"/>
        <v>0</v>
      </c>
      <c r="R126" s="98">
        <f t="shared" si="19"/>
        <v>0</v>
      </c>
      <c r="S126" s="98">
        <f t="shared" si="20"/>
        <v>0</v>
      </c>
      <c r="T126" s="98">
        <f t="shared" si="21"/>
        <v>0</v>
      </c>
      <c r="U126" s="98">
        <f t="shared" si="22"/>
        <v>0</v>
      </c>
      <c r="V126" s="98">
        <f t="shared" si="23"/>
        <v>0</v>
      </c>
      <c r="W126" s="98">
        <f t="shared" si="24"/>
        <v>0</v>
      </c>
      <c r="X126" s="98">
        <f t="shared" si="25"/>
        <v>0</v>
      </c>
      <c r="Y126" s="104"/>
      <c r="Z126" s="105"/>
    </row>
    <row r="127" spans="1:26" s="101" customFormat="1" ht="24.75" customHeight="1">
      <c r="A127" s="42" t="s">
        <v>646</v>
      </c>
      <c r="B127" s="42" t="s">
        <v>237</v>
      </c>
      <c r="C127" s="42" t="s">
        <v>203</v>
      </c>
      <c r="D127" s="42" t="s">
        <v>221</v>
      </c>
      <c r="E127" s="41" t="s">
        <v>647</v>
      </c>
      <c r="F127" s="82"/>
      <c r="G127" s="98">
        <f t="shared" si="31"/>
        <v>38725.2</v>
      </c>
      <c r="H127" s="51">
        <f>+H129+H132</f>
        <v>1450.6</v>
      </c>
      <c r="I127" s="51">
        <f>+I129+I132</f>
        <v>37274.6</v>
      </c>
      <c r="J127" s="98">
        <f t="shared" si="29"/>
        <v>15500</v>
      </c>
      <c r="K127" s="51">
        <f>+K129</f>
        <v>0</v>
      </c>
      <c r="L127" s="51">
        <f>+L129</f>
        <v>15500</v>
      </c>
      <c r="M127" s="98">
        <f t="shared" si="30"/>
        <v>21120</v>
      </c>
      <c r="N127" s="51">
        <f>+N129+N132</f>
        <v>0</v>
      </c>
      <c r="O127" s="51">
        <f>+O129+O132</f>
        <v>21120</v>
      </c>
      <c r="P127" s="98">
        <f t="shared" si="17"/>
        <v>5620</v>
      </c>
      <c r="Q127" s="98">
        <f t="shared" si="18"/>
        <v>0</v>
      </c>
      <c r="R127" s="98">
        <f t="shared" si="19"/>
        <v>5620</v>
      </c>
      <c r="S127" s="98">
        <f t="shared" si="20"/>
        <v>21120</v>
      </c>
      <c r="T127" s="98">
        <f t="shared" si="21"/>
        <v>0</v>
      </c>
      <c r="U127" s="98">
        <f t="shared" si="22"/>
        <v>21120</v>
      </c>
      <c r="V127" s="98">
        <f t="shared" si="23"/>
        <v>21120</v>
      </c>
      <c r="W127" s="98">
        <f t="shared" si="24"/>
        <v>0</v>
      </c>
      <c r="X127" s="98">
        <f t="shared" si="25"/>
        <v>21120</v>
      </c>
      <c r="Y127" s="99"/>
      <c r="Z127" s="100"/>
    </row>
    <row r="128" spans="1:26" ht="12.75" customHeight="1">
      <c r="A128" s="12"/>
      <c r="B128" s="14"/>
      <c r="C128" s="14"/>
      <c r="D128" s="102"/>
      <c r="E128" s="103" t="s">
        <v>5</v>
      </c>
      <c r="F128" s="102"/>
      <c r="G128" s="98">
        <f t="shared" si="31"/>
        <v>0</v>
      </c>
      <c r="H128" s="45"/>
      <c r="I128" s="45"/>
      <c r="J128" s="98">
        <f t="shared" si="29"/>
        <v>0</v>
      </c>
      <c r="K128" s="54"/>
      <c r="L128" s="54"/>
      <c r="M128" s="98">
        <f t="shared" si="30"/>
        <v>0</v>
      </c>
      <c r="N128" s="45"/>
      <c r="O128" s="45"/>
      <c r="P128" s="98">
        <f t="shared" si="17"/>
        <v>0</v>
      </c>
      <c r="Q128" s="98">
        <f t="shared" si="18"/>
        <v>0</v>
      </c>
      <c r="R128" s="98">
        <f t="shared" si="19"/>
        <v>0</v>
      </c>
      <c r="S128" s="98">
        <f t="shared" si="20"/>
        <v>0</v>
      </c>
      <c r="T128" s="98">
        <f t="shared" si="21"/>
        <v>0</v>
      </c>
      <c r="U128" s="98">
        <f t="shared" si="22"/>
        <v>0</v>
      </c>
      <c r="V128" s="98">
        <f t="shared" si="23"/>
        <v>0</v>
      </c>
      <c r="W128" s="98">
        <f t="shared" si="24"/>
        <v>0</v>
      </c>
      <c r="X128" s="98">
        <f t="shared" si="25"/>
        <v>0</v>
      </c>
      <c r="Y128" s="104"/>
      <c r="Z128" s="105"/>
    </row>
    <row r="129" spans="1:26" s="101" customFormat="1" ht="44.25" customHeight="1">
      <c r="A129" s="5"/>
      <c r="B129" s="6"/>
      <c r="C129" s="6"/>
      <c r="D129" s="82"/>
      <c r="E129" s="106" t="s">
        <v>648</v>
      </c>
      <c r="F129" s="110"/>
      <c r="G129" s="98">
        <f t="shared" si="31"/>
        <v>27502.7</v>
      </c>
      <c r="H129" s="111">
        <f>+H130+H131</f>
        <v>0</v>
      </c>
      <c r="I129" s="111">
        <f>+I130+I131</f>
        <v>27502.7</v>
      </c>
      <c r="J129" s="98">
        <f t="shared" si="29"/>
        <v>15500</v>
      </c>
      <c r="K129" s="111">
        <f>+K130+K131</f>
        <v>0</v>
      </c>
      <c r="L129" s="111">
        <f>+L130+L131</f>
        <v>15500</v>
      </c>
      <c r="M129" s="98">
        <f t="shared" si="30"/>
        <v>21120</v>
      </c>
      <c r="N129" s="111">
        <f>+N130+N131</f>
        <v>0</v>
      </c>
      <c r="O129" s="111">
        <f>+O130+O131</f>
        <v>21120</v>
      </c>
      <c r="P129" s="98">
        <f t="shared" si="17"/>
        <v>5620</v>
      </c>
      <c r="Q129" s="98">
        <f t="shared" si="18"/>
        <v>0</v>
      </c>
      <c r="R129" s="98">
        <f t="shared" si="19"/>
        <v>5620</v>
      </c>
      <c r="S129" s="98">
        <f t="shared" si="20"/>
        <v>21120</v>
      </c>
      <c r="T129" s="98">
        <f t="shared" si="21"/>
        <v>0</v>
      </c>
      <c r="U129" s="98">
        <f t="shared" si="22"/>
        <v>21120</v>
      </c>
      <c r="V129" s="98">
        <f t="shared" si="23"/>
        <v>21120</v>
      </c>
      <c r="W129" s="98">
        <f t="shared" si="24"/>
        <v>0</v>
      </c>
      <c r="X129" s="98">
        <f t="shared" si="25"/>
        <v>21120</v>
      </c>
      <c r="Y129" s="99"/>
      <c r="Z129" s="100"/>
    </row>
    <row r="130" spans="1:26" s="101" customFormat="1" ht="19.5" customHeight="1">
      <c r="A130" s="5"/>
      <c r="B130" s="6"/>
      <c r="C130" s="6"/>
      <c r="D130" s="82"/>
      <c r="E130" s="109" t="s">
        <v>523</v>
      </c>
      <c r="F130" s="7">
        <v>5113</v>
      </c>
      <c r="G130" s="98">
        <f t="shared" si="31"/>
        <v>26498.7</v>
      </c>
      <c r="H130" s="45"/>
      <c r="I130" s="45">
        <v>26498.7</v>
      </c>
      <c r="J130" s="98">
        <f t="shared" si="29"/>
        <v>14191</v>
      </c>
      <c r="K130" s="51"/>
      <c r="L130" s="51">
        <v>14191</v>
      </c>
      <c r="M130" s="98">
        <f t="shared" si="30"/>
        <v>20000</v>
      </c>
      <c r="N130" s="45"/>
      <c r="O130" s="45">
        <v>20000</v>
      </c>
      <c r="P130" s="98">
        <f t="shared" si="17"/>
        <v>5809</v>
      </c>
      <c r="Q130" s="98">
        <f t="shared" si="18"/>
        <v>0</v>
      </c>
      <c r="R130" s="98">
        <f t="shared" si="19"/>
        <v>5809</v>
      </c>
      <c r="S130" s="98">
        <f t="shared" si="20"/>
        <v>20000</v>
      </c>
      <c r="T130" s="98">
        <f t="shared" si="21"/>
        <v>0</v>
      </c>
      <c r="U130" s="98">
        <f t="shared" si="22"/>
        <v>20000</v>
      </c>
      <c r="V130" s="98">
        <f t="shared" si="23"/>
        <v>20000</v>
      </c>
      <c r="W130" s="98">
        <f t="shared" si="24"/>
        <v>0</v>
      </c>
      <c r="X130" s="98">
        <f t="shared" si="25"/>
        <v>20000</v>
      </c>
      <c r="Y130" s="99"/>
      <c r="Z130" s="100"/>
    </row>
    <row r="131" spans="1:26" s="101" customFormat="1" ht="19.5" customHeight="1">
      <c r="A131" s="5"/>
      <c r="B131" s="6"/>
      <c r="C131" s="6"/>
      <c r="D131" s="82"/>
      <c r="E131" s="109" t="s">
        <v>538</v>
      </c>
      <c r="F131" s="7">
        <v>5134</v>
      </c>
      <c r="G131" s="98">
        <f t="shared" si="31"/>
        <v>1004</v>
      </c>
      <c r="H131" s="45"/>
      <c r="I131" s="45">
        <v>1004</v>
      </c>
      <c r="J131" s="98">
        <f t="shared" si="29"/>
        <v>1309</v>
      </c>
      <c r="K131" s="51"/>
      <c r="L131" s="51">
        <v>1309</v>
      </c>
      <c r="M131" s="98">
        <f t="shared" si="30"/>
        <v>1120</v>
      </c>
      <c r="N131" s="45"/>
      <c r="O131" s="45">
        <v>1120</v>
      </c>
      <c r="P131" s="98">
        <f t="shared" si="17"/>
        <v>-189</v>
      </c>
      <c r="Q131" s="98">
        <f t="shared" si="18"/>
        <v>0</v>
      </c>
      <c r="R131" s="98">
        <f t="shared" si="19"/>
        <v>-189</v>
      </c>
      <c r="S131" s="98">
        <f t="shared" si="20"/>
        <v>1120</v>
      </c>
      <c r="T131" s="98">
        <f t="shared" si="21"/>
        <v>0</v>
      </c>
      <c r="U131" s="98">
        <f t="shared" si="22"/>
        <v>1120</v>
      </c>
      <c r="V131" s="98">
        <f t="shared" si="23"/>
        <v>1120</v>
      </c>
      <c r="W131" s="98">
        <f t="shared" si="24"/>
        <v>0</v>
      </c>
      <c r="X131" s="98">
        <f t="shared" si="25"/>
        <v>1120</v>
      </c>
      <c r="Y131" s="99"/>
      <c r="Z131" s="100"/>
    </row>
    <row r="132" spans="1:26" s="101" customFormat="1" ht="19.5" customHeight="1">
      <c r="A132" s="5"/>
      <c r="B132" s="6"/>
      <c r="C132" s="6"/>
      <c r="D132" s="82"/>
      <c r="E132" s="109" t="s">
        <v>736</v>
      </c>
      <c r="F132" s="7"/>
      <c r="G132" s="98">
        <f t="shared" si="31"/>
        <v>11222.5</v>
      </c>
      <c r="H132" s="45">
        <f>+H133</f>
        <v>1450.6</v>
      </c>
      <c r="I132" s="45">
        <f>+I133</f>
        <v>9771.9</v>
      </c>
      <c r="J132" s="98"/>
      <c r="K132" s="51"/>
      <c r="L132" s="51"/>
      <c r="M132" s="98"/>
      <c r="N132" s="45">
        <f>+N133</f>
        <v>0</v>
      </c>
      <c r="O132" s="45">
        <f>+O133</f>
        <v>0</v>
      </c>
      <c r="P132" s="98">
        <f t="shared" si="17"/>
        <v>0</v>
      </c>
      <c r="Q132" s="98">
        <f t="shared" si="18"/>
        <v>0</v>
      </c>
      <c r="R132" s="98">
        <f t="shared" si="19"/>
        <v>0</v>
      </c>
      <c r="S132" s="98">
        <f t="shared" si="20"/>
        <v>0</v>
      </c>
      <c r="T132" s="98">
        <f t="shared" si="21"/>
        <v>0</v>
      </c>
      <c r="U132" s="98">
        <f t="shared" si="22"/>
        <v>0</v>
      </c>
      <c r="V132" s="98">
        <f t="shared" si="23"/>
        <v>0</v>
      </c>
      <c r="W132" s="98">
        <f t="shared" si="24"/>
        <v>0</v>
      </c>
      <c r="X132" s="98">
        <f t="shared" si="25"/>
        <v>0</v>
      </c>
      <c r="Y132" s="99"/>
      <c r="Z132" s="100"/>
    </row>
    <row r="133" spans="1:26" s="101" customFormat="1" ht="19.5" customHeight="1">
      <c r="A133" s="5"/>
      <c r="B133" s="6"/>
      <c r="C133" s="6"/>
      <c r="D133" s="82"/>
      <c r="E133" s="109" t="s">
        <v>420</v>
      </c>
      <c r="F133" s="7">
        <v>4239</v>
      </c>
      <c r="G133" s="98">
        <f t="shared" si="31"/>
        <v>11222.5</v>
      </c>
      <c r="H133" s="45">
        <v>1450.6</v>
      </c>
      <c r="I133" s="45">
        <v>9771.9</v>
      </c>
      <c r="J133" s="98"/>
      <c r="K133" s="51"/>
      <c r="L133" s="51"/>
      <c r="M133" s="98"/>
      <c r="N133" s="45"/>
      <c r="O133" s="45"/>
      <c r="P133" s="98">
        <f t="shared" si="17"/>
        <v>0</v>
      </c>
      <c r="Q133" s="98">
        <f t="shared" si="18"/>
        <v>0</v>
      </c>
      <c r="R133" s="98">
        <f t="shared" si="19"/>
        <v>0</v>
      </c>
      <c r="S133" s="98">
        <f t="shared" si="20"/>
        <v>0</v>
      </c>
      <c r="T133" s="98">
        <f t="shared" si="21"/>
        <v>0</v>
      </c>
      <c r="U133" s="98">
        <f t="shared" si="22"/>
        <v>0</v>
      </c>
      <c r="V133" s="98">
        <f t="shared" si="23"/>
        <v>0</v>
      </c>
      <c r="W133" s="98">
        <f t="shared" si="24"/>
        <v>0</v>
      </c>
      <c r="X133" s="98">
        <f t="shared" si="25"/>
        <v>0</v>
      </c>
      <c r="Y133" s="99"/>
      <c r="Z133" s="100"/>
    </row>
    <row r="134" spans="1:26" s="101" customFormat="1" ht="19.5" customHeight="1">
      <c r="A134" s="5"/>
      <c r="B134" s="6"/>
      <c r="C134" s="6"/>
      <c r="D134" s="82"/>
      <c r="E134" s="109" t="s">
        <v>523</v>
      </c>
      <c r="F134" s="7">
        <v>5113</v>
      </c>
      <c r="G134" s="98">
        <f t="shared" si="31"/>
        <v>0</v>
      </c>
      <c r="H134" s="45"/>
      <c r="I134" s="45"/>
      <c r="J134" s="98"/>
      <c r="K134" s="51"/>
      <c r="L134" s="51"/>
      <c r="M134" s="98"/>
      <c r="N134" s="45"/>
      <c r="O134" s="45"/>
      <c r="P134" s="98">
        <f t="shared" si="17"/>
        <v>0</v>
      </c>
      <c r="Q134" s="98">
        <f t="shared" si="18"/>
        <v>0</v>
      </c>
      <c r="R134" s="98">
        <f t="shared" si="19"/>
        <v>0</v>
      </c>
      <c r="S134" s="98">
        <f t="shared" si="20"/>
        <v>0</v>
      </c>
      <c r="T134" s="98">
        <f t="shared" si="21"/>
        <v>0</v>
      </c>
      <c r="U134" s="98">
        <f t="shared" si="22"/>
        <v>0</v>
      </c>
      <c r="V134" s="98">
        <f t="shared" si="23"/>
        <v>0</v>
      </c>
      <c r="W134" s="98">
        <f t="shared" si="24"/>
        <v>0</v>
      </c>
      <c r="X134" s="98">
        <f t="shared" si="25"/>
        <v>0</v>
      </c>
      <c r="Y134" s="99"/>
      <c r="Z134" s="100"/>
    </row>
    <row r="135" spans="1:26" s="101" customFormat="1" ht="21.75" customHeight="1">
      <c r="A135" s="5" t="s">
        <v>243</v>
      </c>
      <c r="B135" s="6" t="s">
        <v>228</v>
      </c>
      <c r="C135" s="6" t="s">
        <v>210</v>
      </c>
      <c r="D135" s="82" t="s">
        <v>194</v>
      </c>
      <c r="E135" s="106" t="s">
        <v>244</v>
      </c>
      <c r="F135" s="110"/>
      <c r="G135" s="98">
        <f t="shared" si="31"/>
        <v>1557893.7000000002</v>
      </c>
      <c r="H135" s="111">
        <f>+H137</f>
        <v>20463.1</v>
      </c>
      <c r="I135" s="111">
        <f>+I137</f>
        <v>1537430.6</v>
      </c>
      <c r="J135" s="98">
        <f t="shared" si="29"/>
        <v>987649</v>
      </c>
      <c r="K135" s="111">
        <f>+K137</f>
        <v>0</v>
      </c>
      <c r="L135" s="111">
        <f>+L137</f>
        <v>987649</v>
      </c>
      <c r="M135" s="98">
        <f t="shared" si="30"/>
        <v>1319580</v>
      </c>
      <c r="N135" s="111">
        <f>+N137</f>
        <v>0</v>
      </c>
      <c r="O135" s="111">
        <f>+O137</f>
        <v>1319580</v>
      </c>
      <c r="P135" s="98">
        <f t="shared" si="17"/>
        <v>331931</v>
      </c>
      <c r="Q135" s="98">
        <f t="shared" si="18"/>
        <v>0</v>
      </c>
      <c r="R135" s="98">
        <f t="shared" si="19"/>
        <v>331931</v>
      </c>
      <c r="S135" s="98">
        <f t="shared" si="20"/>
        <v>1319580</v>
      </c>
      <c r="T135" s="98">
        <f t="shared" si="21"/>
        <v>0</v>
      </c>
      <c r="U135" s="98">
        <f t="shared" si="22"/>
        <v>1319580</v>
      </c>
      <c r="V135" s="98">
        <f t="shared" si="23"/>
        <v>1319580</v>
      </c>
      <c r="W135" s="98">
        <f t="shared" si="24"/>
        <v>0</v>
      </c>
      <c r="X135" s="98">
        <f t="shared" si="25"/>
        <v>1319580</v>
      </c>
      <c r="Y135" s="99"/>
      <c r="Z135" s="100"/>
    </row>
    <row r="136" spans="1:26" ht="12.75" customHeight="1">
      <c r="A136" s="12"/>
      <c r="B136" s="14"/>
      <c r="C136" s="14"/>
      <c r="D136" s="102"/>
      <c r="E136" s="103" t="s">
        <v>199</v>
      </c>
      <c r="F136" s="102"/>
      <c r="G136" s="98">
        <f t="shared" si="31"/>
        <v>0</v>
      </c>
      <c r="H136" s="45"/>
      <c r="I136" s="45"/>
      <c r="J136" s="98">
        <f t="shared" si="29"/>
        <v>0</v>
      </c>
      <c r="K136" s="54"/>
      <c r="L136" s="54"/>
      <c r="M136" s="98">
        <f t="shared" si="30"/>
        <v>0</v>
      </c>
      <c r="N136" s="45"/>
      <c r="O136" s="45"/>
      <c r="P136" s="98">
        <f t="shared" si="17"/>
        <v>0</v>
      </c>
      <c r="Q136" s="98">
        <f t="shared" si="18"/>
        <v>0</v>
      </c>
      <c r="R136" s="98">
        <f t="shared" si="19"/>
        <v>0</v>
      </c>
      <c r="S136" s="98">
        <f t="shared" si="20"/>
        <v>0</v>
      </c>
      <c r="T136" s="98">
        <f t="shared" si="21"/>
        <v>0</v>
      </c>
      <c r="U136" s="98">
        <f t="shared" si="22"/>
        <v>0</v>
      </c>
      <c r="V136" s="98">
        <f t="shared" si="23"/>
        <v>0</v>
      </c>
      <c r="W136" s="98">
        <f t="shared" si="24"/>
        <v>0</v>
      </c>
      <c r="X136" s="98">
        <f t="shared" si="25"/>
        <v>0</v>
      </c>
      <c r="Y136" s="104"/>
      <c r="Z136" s="105"/>
    </row>
    <row r="137" spans="1:26" s="101" customFormat="1" ht="21" customHeight="1">
      <c r="A137" s="10" t="s">
        <v>245</v>
      </c>
      <c r="B137" s="7" t="s">
        <v>228</v>
      </c>
      <c r="C137" s="7" t="s">
        <v>210</v>
      </c>
      <c r="D137" s="7" t="s">
        <v>197</v>
      </c>
      <c r="E137" s="109" t="s">
        <v>246</v>
      </c>
      <c r="F137" s="82"/>
      <c r="G137" s="98">
        <f t="shared" si="31"/>
        <v>1557893.7000000002</v>
      </c>
      <c r="H137" s="51">
        <f>+H139+H143</f>
        <v>20463.1</v>
      </c>
      <c r="I137" s="51">
        <f>+I139+I143</f>
        <v>1537430.6</v>
      </c>
      <c r="J137" s="98">
        <f t="shared" si="29"/>
        <v>987649</v>
      </c>
      <c r="K137" s="51">
        <f>+K139+K143</f>
        <v>0</v>
      </c>
      <c r="L137" s="51">
        <f>+L139+L143</f>
        <v>987649</v>
      </c>
      <c r="M137" s="98">
        <f t="shared" si="30"/>
        <v>1319580</v>
      </c>
      <c r="N137" s="51">
        <f>+N139+N143</f>
        <v>0</v>
      </c>
      <c r="O137" s="51">
        <f>+O139+O143</f>
        <v>1319580</v>
      </c>
      <c r="P137" s="98">
        <f t="shared" si="17"/>
        <v>331931</v>
      </c>
      <c r="Q137" s="98">
        <f t="shared" si="18"/>
        <v>0</v>
      </c>
      <c r="R137" s="98">
        <f t="shared" si="19"/>
        <v>331931</v>
      </c>
      <c r="S137" s="98">
        <f t="shared" si="20"/>
        <v>1319580</v>
      </c>
      <c r="T137" s="98">
        <f t="shared" si="21"/>
        <v>0</v>
      </c>
      <c r="U137" s="98">
        <f t="shared" si="22"/>
        <v>1319580</v>
      </c>
      <c r="V137" s="98">
        <f t="shared" si="23"/>
        <v>1319580</v>
      </c>
      <c r="W137" s="98">
        <f t="shared" si="24"/>
        <v>0</v>
      </c>
      <c r="X137" s="98">
        <f t="shared" si="25"/>
        <v>1319580</v>
      </c>
      <c r="Y137" s="99"/>
      <c r="Z137" s="100"/>
    </row>
    <row r="138" spans="1:26" ht="12.75" customHeight="1">
      <c r="A138" s="12"/>
      <c r="B138" s="14"/>
      <c r="C138" s="14"/>
      <c r="D138" s="102"/>
      <c r="E138" s="103" t="s">
        <v>5</v>
      </c>
      <c r="F138" s="102"/>
      <c r="G138" s="98">
        <f t="shared" si="31"/>
        <v>0</v>
      </c>
      <c r="H138" s="45"/>
      <c r="I138" s="45"/>
      <c r="J138" s="98">
        <f t="shared" si="29"/>
        <v>0</v>
      </c>
      <c r="K138" s="54"/>
      <c r="L138" s="54"/>
      <c r="M138" s="98">
        <f t="shared" si="30"/>
        <v>0</v>
      </c>
      <c r="N138" s="45"/>
      <c r="O138" s="45"/>
      <c r="P138" s="98">
        <f t="shared" si="17"/>
        <v>0</v>
      </c>
      <c r="Q138" s="98">
        <f t="shared" si="18"/>
        <v>0</v>
      </c>
      <c r="R138" s="98">
        <f t="shared" si="19"/>
        <v>0</v>
      </c>
      <c r="S138" s="98">
        <f t="shared" si="20"/>
        <v>0</v>
      </c>
      <c r="T138" s="98">
        <f t="shared" si="21"/>
        <v>0</v>
      </c>
      <c r="U138" s="98">
        <f t="shared" si="22"/>
        <v>0</v>
      </c>
      <c r="V138" s="98">
        <f t="shared" si="23"/>
        <v>0</v>
      </c>
      <c r="W138" s="98">
        <f t="shared" si="24"/>
        <v>0</v>
      </c>
      <c r="X138" s="98">
        <f t="shared" si="25"/>
        <v>0</v>
      </c>
      <c r="Y138" s="104"/>
      <c r="Z138" s="105"/>
    </row>
    <row r="139" spans="1:26" s="101" customFormat="1" ht="25.5" customHeight="1">
      <c r="A139" s="5"/>
      <c r="B139" s="6"/>
      <c r="C139" s="6"/>
      <c r="D139" s="82"/>
      <c r="E139" s="106" t="s">
        <v>635</v>
      </c>
      <c r="F139" s="110"/>
      <c r="G139" s="98">
        <f t="shared" si="31"/>
        <v>1552140.1</v>
      </c>
      <c r="H139" s="111">
        <f>+H140</f>
        <v>20463.1</v>
      </c>
      <c r="I139" s="111">
        <f>+I141+I142</f>
        <v>1531677</v>
      </c>
      <c r="J139" s="98">
        <f t="shared" si="29"/>
        <v>964097</v>
      </c>
      <c r="K139" s="111">
        <f>+K141+K142</f>
        <v>0</v>
      </c>
      <c r="L139" s="111">
        <f>+L141+L142</f>
        <v>964097</v>
      </c>
      <c r="M139" s="98">
        <f t="shared" si="30"/>
        <v>1319580</v>
      </c>
      <c r="N139" s="111">
        <f>+N140</f>
        <v>0</v>
      </c>
      <c r="O139" s="111">
        <f>+O141+O142</f>
        <v>1319580</v>
      </c>
      <c r="P139" s="98">
        <f aca="true" t="shared" si="32" ref="P139:P202">+M139-J139</f>
        <v>355483</v>
      </c>
      <c r="Q139" s="98">
        <f aca="true" t="shared" si="33" ref="Q139:Q202">+N139-K139</f>
        <v>0</v>
      </c>
      <c r="R139" s="98">
        <f aca="true" t="shared" si="34" ref="R139:R202">+O139-L139</f>
        <v>355483</v>
      </c>
      <c r="S139" s="98">
        <f aca="true" t="shared" si="35" ref="S139:S202">+M139</f>
        <v>1319580</v>
      </c>
      <c r="T139" s="98">
        <f aca="true" t="shared" si="36" ref="T139:T202">+N139</f>
        <v>0</v>
      </c>
      <c r="U139" s="98">
        <f aca="true" t="shared" si="37" ref="U139:U202">+O139</f>
        <v>1319580</v>
      </c>
      <c r="V139" s="98">
        <f aca="true" t="shared" si="38" ref="V139:V202">+M139</f>
        <v>1319580</v>
      </c>
      <c r="W139" s="98">
        <f aca="true" t="shared" si="39" ref="W139:W202">+N139</f>
        <v>0</v>
      </c>
      <c r="X139" s="98">
        <f aca="true" t="shared" si="40" ref="X139:X202">+O139</f>
        <v>1319580</v>
      </c>
      <c r="Y139" s="99"/>
      <c r="Z139" s="100"/>
    </row>
    <row r="140" spans="1:26" s="101" customFormat="1" ht="25.5" customHeight="1">
      <c r="A140" s="5"/>
      <c r="B140" s="6"/>
      <c r="C140" s="6"/>
      <c r="D140" s="82"/>
      <c r="E140" s="109" t="s">
        <v>420</v>
      </c>
      <c r="F140" s="7">
        <v>4239</v>
      </c>
      <c r="G140" s="98">
        <f t="shared" si="31"/>
        <v>20463.1</v>
      </c>
      <c r="H140" s="111">
        <v>20463.1</v>
      </c>
      <c r="I140" s="111"/>
      <c r="J140" s="98"/>
      <c r="K140" s="111"/>
      <c r="L140" s="111"/>
      <c r="M140" s="98"/>
      <c r="N140" s="111"/>
      <c r="O140" s="111"/>
      <c r="P140" s="98">
        <f t="shared" si="32"/>
        <v>0</v>
      </c>
      <c r="Q140" s="98">
        <f t="shared" si="33"/>
        <v>0</v>
      </c>
      <c r="R140" s="98">
        <f t="shared" si="34"/>
        <v>0</v>
      </c>
      <c r="S140" s="98">
        <f t="shared" si="35"/>
        <v>0</v>
      </c>
      <c r="T140" s="98">
        <f t="shared" si="36"/>
        <v>0</v>
      </c>
      <c r="U140" s="98">
        <f t="shared" si="37"/>
        <v>0</v>
      </c>
      <c r="V140" s="98">
        <f t="shared" si="38"/>
        <v>0</v>
      </c>
      <c r="W140" s="98">
        <f t="shared" si="39"/>
        <v>0</v>
      </c>
      <c r="X140" s="98">
        <f t="shared" si="40"/>
        <v>0</v>
      </c>
      <c r="Y140" s="99"/>
      <c r="Z140" s="100"/>
    </row>
    <row r="141" spans="1:26" s="101" customFormat="1" ht="26.25" customHeight="1">
      <c r="A141" s="5"/>
      <c r="B141" s="6"/>
      <c r="C141" s="6"/>
      <c r="D141" s="82"/>
      <c r="E141" s="109" t="s">
        <v>523</v>
      </c>
      <c r="F141" s="7" t="s">
        <v>522</v>
      </c>
      <c r="G141" s="98">
        <f t="shared" si="31"/>
        <v>1523247.4</v>
      </c>
      <c r="H141" s="45"/>
      <c r="I141" s="45">
        <f>1537430.6-8429.6-5753.6</f>
        <v>1523247.4</v>
      </c>
      <c r="J141" s="98">
        <f t="shared" si="29"/>
        <v>921383</v>
      </c>
      <c r="K141" s="51"/>
      <c r="L141" s="51">
        <f>847089.3+74293.7</f>
        <v>921383</v>
      </c>
      <c r="M141" s="98">
        <f t="shared" si="30"/>
        <v>1261000</v>
      </c>
      <c r="N141" s="45"/>
      <c r="O141" s="45">
        <v>1261000</v>
      </c>
      <c r="P141" s="98">
        <f t="shared" si="32"/>
        <v>339617</v>
      </c>
      <c r="Q141" s="98">
        <f t="shared" si="33"/>
        <v>0</v>
      </c>
      <c r="R141" s="98">
        <f t="shared" si="34"/>
        <v>339617</v>
      </c>
      <c r="S141" s="98">
        <f t="shared" si="35"/>
        <v>1261000</v>
      </c>
      <c r="T141" s="98">
        <f t="shared" si="36"/>
        <v>0</v>
      </c>
      <c r="U141" s="98">
        <f t="shared" si="37"/>
        <v>1261000</v>
      </c>
      <c r="V141" s="98">
        <f t="shared" si="38"/>
        <v>1261000</v>
      </c>
      <c r="W141" s="98">
        <f t="shared" si="39"/>
        <v>0</v>
      </c>
      <c r="X141" s="98">
        <f t="shared" si="40"/>
        <v>1261000</v>
      </c>
      <c r="Y141" s="99"/>
      <c r="Z141" s="100"/>
    </row>
    <row r="142" spans="1:26" s="101" customFormat="1" ht="25.5" customHeight="1">
      <c r="A142" s="5"/>
      <c r="B142" s="6"/>
      <c r="C142" s="6"/>
      <c r="D142" s="82"/>
      <c r="E142" s="109" t="s">
        <v>538</v>
      </c>
      <c r="F142" s="7">
        <v>5134</v>
      </c>
      <c r="G142" s="98">
        <f t="shared" si="31"/>
        <v>8429.6</v>
      </c>
      <c r="H142" s="45"/>
      <c r="I142" s="45">
        <v>8429.6</v>
      </c>
      <c r="J142" s="98">
        <f t="shared" si="29"/>
        <v>42714</v>
      </c>
      <c r="K142" s="111"/>
      <c r="L142" s="111">
        <v>42714</v>
      </c>
      <c r="M142" s="98">
        <f t="shared" si="30"/>
        <v>58580</v>
      </c>
      <c r="N142" s="45"/>
      <c r="O142" s="45">
        <v>58580</v>
      </c>
      <c r="P142" s="98">
        <f t="shared" si="32"/>
        <v>15866</v>
      </c>
      <c r="Q142" s="98">
        <f t="shared" si="33"/>
        <v>0</v>
      </c>
      <c r="R142" s="98">
        <f t="shared" si="34"/>
        <v>15866</v>
      </c>
      <c r="S142" s="98">
        <f t="shared" si="35"/>
        <v>58580</v>
      </c>
      <c r="T142" s="98">
        <f t="shared" si="36"/>
        <v>0</v>
      </c>
      <c r="U142" s="98">
        <f t="shared" si="37"/>
        <v>58580</v>
      </c>
      <c r="V142" s="98">
        <f t="shared" si="38"/>
        <v>58580</v>
      </c>
      <c r="W142" s="98">
        <f t="shared" si="39"/>
        <v>0</v>
      </c>
      <c r="X142" s="98">
        <f t="shared" si="40"/>
        <v>58580</v>
      </c>
      <c r="Y142" s="99"/>
      <c r="Z142" s="100"/>
    </row>
    <row r="143" spans="1:26" s="101" customFormat="1" ht="25.5" customHeight="1">
      <c r="A143" s="5"/>
      <c r="B143" s="6"/>
      <c r="C143" s="6"/>
      <c r="D143" s="82"/>
      <c r="E143" s="106" t="s">
        <v>686</v>
      </c>
      <c r="F143" s="7"/>
      <c r="G143" s="98">
        <f t="shared" si="31"/>
        <v>5753.6</v>
      </c>
      <c r="H143" s="111">
        <f>+H144+H145+H146</f>
        <v>0</v>
      </c>
      <c r="I143" s="111">
        <f>+I144+I145+I146</f>
        <v>5753.6</v>
      </c>
      <c r="J143" s="98">
        <f t="shared" si="29"/>
        <v>23552</v>
      </c>
      <c r="K143" s="111">
        <f>+K144+K145+K146</f>
        <v>0</v>
      </c>
      <c r="L143" s="111">
        <f>+L144+L145+L146</f>
        <v>23552</v>
      </c>
      <c r="M143" s="98">
        <f t="shared" si="30"/>
        <v>0</v>
      </c>
      <c r="N143" s="111">
        <f>+N144+N145+N146</f>
        <v>0</v>
      </c>
      <c r="O143" s="111">
        <f>+O144+O145+O146</f>
        <v>0</v>
      </c>
      <c r="P143" s="98">
        <f t="shared" si="32"/>
        <v>-23552</v>
      </c>
      <c r="Q143" s="98">
        <f t="shared" si="33"/>
        <v>0</v>
      </c>
      <c r="R143" s="98">
        <f t="shared" si="34"/>
        <v>-23552</v>
      </c>
      <c r="S143" s="98">
        <f t="shared" si="35"/>
        <v>0</v>
      </c>
      <c r="T143" s="98">
        <f t="shared" si="36"/>
        <v>0</v>
      </c>
      <c r="U143" s="98">
        <f t="shared" si="37"/>
        <v>0</v>
      </c>
      <c r="V143" s="98">
        <f t="shared" si="38"/>
        <v>0</v>
      </c>
      <c r="W143" s="98">
        <f t="shared" si="39"/>
        <v>0</v>
      </c>
      <c r="X143" s="98">
        <f t="shared" si="40"/>
        <v>0</v>
      </c>
      <c r="Y143" s="99"/>
      <c r="Z143" s="100"/>
    </row>
    <row r="144" spans="1:26" s="101" customFormat="1" ht="25.5" customHeight="1">
      <c r="A144" s="5"/>
      <c r="B144" s="6"/>
      <c r="C144" s="6"/>
      <c r="D144" s="82"/>
      <c r="E144" s="109" t="s">
        <v>523</v>
      </c>
      <c r="F144" s="7">
        <v>5113</v>
      </c>
      <c r="G144" s="98">
        <f t="shared" si="31"/>
        <v>5520</v>
      </c>
      <c r="H144" s="45"/>
      <c r="I144" s="45">
        <v>5520</v>
      </c>
      <c r="J144" s="98">
        <f t="shared" si="29"/>
        <v>13000</v>
      </c>
      <c r="K144" s="111"/>
      <c r="L144" s="111">
        <v>13000</v>
      </c>
      <c r="M144" s="98">
        <f t="shared" si="30"/>
        <v>0</v>
      </c>
      <c r="N144" s="45"/>
      <c r="O144" s="45"/>
      <c r="P144" s="98">
        <f t="shared" si="32"/>
        <v>-13000</v>
      </c>
      <c r="Q144" s="98">
        <f t="shared" si="33"/>
        <v>0</v>
      </c>
      <c r="R144" s="98">
        <f t="shared" si="34"/>
        <v>-13000</v>
      </c>
      <c r="S144" s="98">
        <f t="shared" si="35"/>
        <v>0</v>
      </c>
      <c r="T144" s="98">
        <f t="shared" si="36"/>
        <v>0</v>
      </c>
      <c r="U144" s="98">
        <f t="shared" si="37"/>
        <v>0</v>
      </c>
      <c r="V144" s="98">
        <f t="shared" si="38"/>
        <v>0</v>
      </c>
      <c r="W144" s="98">
        <f t="shared" si="39"/>
        <v>0</v>
      </c>
      <c r="X144" s="98">
        <f t="shared" si="40"/>
        <v>0</v>
      </c>
      <c r="Y144" s="99"/>
      <c r="Z144" s="100"/>
    </row>
    <row r="145" spans="1:26" s="101" customFormat="1" ht="25.5" customHeight="1">
      <c r="A145" s="5"/>
      <c r="B145" s="6"/>
      <c r="C145" s="6"/>
      <c r="D145" s="82"/>
      <c r="E145" s="103" t="s">
        <v>529</v>
      </c>
      <c r="F145" s="7">
        <v>5122</v>
      </c>
      <c r="G145" s="98">
        <f t="shared" si="31"/>
        <v>0</v>
      </c>
      <c r="H145" s="45"/>
      <c r="I145" s="45"/>
      <c r="J145" s="98">
        <f t="shared" si="29"/>
        <v>10000</v>
      </c>
      <c r="K145" s="111"/>
      <c r="L145" s="111">
        <v>10000</v>
      </c>
      <c r="M145" s="98">
        <f t="shared" si="30"/>
        <v>0</v>
      </c>
      <c r="N145" s="45"/>
      <c r="O145" s="45"/>
      <c r="P145" s="98">
        <f t="shared" si="32"/>
        <v>-10000</v>
      </c>
      <c r="Q145" s="98">
        <f t="shared" si="33"/>
        <v>0</v>
      </c>
      <c r="R145" s="98">
        <f t="shared" si="34"/>
        <v>-10000</v>
      </c>
      <c r="S145" s="98">
        <f t="shared" si="35"/>
        <v>0</v>
      </c>
      <c r="T145" s="98">
        <f t="shared" si="36"/>
        <v>0</v>
      </c>
      <c r="U145" s="98">
        <f t="shared" si="37"/>
        <v>0</v>
      </c>
      <c r="V145" s="98">
        <f t="shared" si="38"/>
        <v>0</v>
      </c>
      <c r="W145" s="98">
        <f t="shared" si="39"/>
        <v>0</v>
      </c>
      <c r="X145" s="98">
        <f t="shared" si="40"/>
        <v>0</v>
      </c>
      <c r="Y145" s="99"/>
      <c r="Z145" s="100"/>
    </row>
    <row r="146" spans="1:26" s="101" customFormat="1" ht="25.5" customHeight="1">
      <c r="A146" s="5"/>
      <c r="B146" s="6"/>
      <c r="C146" s="6"/>
      <c r="D146" s="82"/>
      <c r="E146" s="109" t="s">
        <v>538</v>
      </c>
      <c r="F146" s="7">
        <v>5134</v>
      </c>
      <c r="G146" s="98">
        <f t="shared" si="31"/>
        <v>233.6</v>
      </c>
      <c r="H146" s="45"/>
      <c r="I146" s="45">
        <v>233.6</v>
      </c>
      <c r="J146" s="98">
        <f t="shared" si="29"/>
        <v>552</v>
      </c>
      <c r="K146" s="111"/>
      <c r="L146" s="111">
        <v>552</v>
      </c>
      <c r="M146" s="98">
        <f t="shared" si="30"/>
        <v>0</v>
      </c>
      <c r="N146" s="45"/>
      <c r="O146" s="45"/>
      <c r="P146" s="98">
        <f t="shared" si="32"/>
        <v>-552</v>
      </c>
      <c r="Q146" s="98">
        <f t="shared" si="33"/>
        <v>0</v>
      </c>
      <c r="R146" s="98">
        <f t="shared" si="34"/>
        <v>-552</v>
      </c>
      <c r="S146" s="98">
        <f t="shared" si="35"/>
        <v>0</v>
      </c>
      <c r="T146" s="98">
        <f t="shared" si="36"/>
        <v>0</v>
      </c>
      <c r="U146" s="98">
        <f t="shared" si="37"/>
        <v>0</v>
      </c>
      <c r="V146" s="98">
        <f t="shared" si="38"/>
        <v>0</v>
      </c>
      <c r="W146" s="98">
        <f t="shared" si="39"/>
        <v>0</v>
      </c>
      <c r="X146" s="98">
        <f t="shared" si="40"/>
        <v>0</v>
      </c>
      <c r="Y146" s="99"/>
      <c r="Z146" s="100"/>
    </row>
    <row r="147" spans="1:26" s="314" customFormat="1" ht="25.5" customHeight="1">
      <c r="A147" s="305" t="s">
        <v>254</v>
      </c>
      <c r="B147" s="306" t="s">
        <v>228</v>
      </c>
      <c r="C147" s="306" t="s">
        <v>255</v>
      </c>
      <c r="D147" s="307" t="s">
        <v>194</v>
      </c>
      <c r="E147" s="308" t="s">
        <v>256</v>
      </c>
      <c r="F147" s="309"/>
      <c r="G147" s="310">
        <f t="shared" si="31"/>
        <v>-1338850.4</v>
      </c>
      <c r="H147" s="311">
        <f>+H149</f>
        <v>0</v>
      </c>
      <c r="I147" s="311">
        <f>+I149</f>
        <v>-1338850.4</v>
      </c>
      <c r="J147" s="310">
        <f t="shared" si="29"/>
        <v>-683595.8</v>
      </c>
      <c r="K147" s="311">
        <f>+K149</f>
        <v>0</v>
      </c>
      <c r="L147" s="311">
        <f>+L149</f>
        <v>-683595.8</v>
      </c>
      <c r="M147" s="310">
        <f t="shared" si="30"/>
        <v>-1533645</v>
      </c>
      <c r="N147" s="311">
        <f>+N149</f>
        <v>0</v>
      </c>
      <c r="O147" s="311">
        <f>+O149</f>
        <v>-1533645</v>
      </c>
      <c r="P147" s="310">
        <f t="shared" si="32"/>
        <v>-850049.2</v>
      </c>
      <c r="Q147" s="310">
        <f t="shared" si="33"/>
        <v>0</v>
      </c>
      <c r="R147" s="310">
        <f t="shared" si="34"/>
        <v>-850049.2</v>
      </c>
      <c r="S147" s="310">
        <f t="shared" si="35"/>
        <v>-1533645</v>
      </c>
      <c r="T147" s="310">
        <f t="shared" si="36"/>
        <v>0</v>
      </c>
      <c r="U147" s="310">
        <f t="shared" si="37"/>
        <v>-1533645</v>
      </c>
      <c r="V147" s="310">
        <f t="shared" si="38"/>
        <v>-1533645</v>
      </c>
      <c r="W147" s="310">
        <f t="shared" si="39"/>
        <v>0</v>
      </c>
      <c r="X147" s="310">
        <f t="shared" si="40"/>
        <v>-1533645</v>
      </c>
      <c r="Y147" s="312"/>
      <c r="Z147" s="313"/>
    </row>
    <row r="148" spans="1:26" s="323" customFormat="1" ht="12.75" customHeight="1">
      <c r="A148" s="315"/>
      <c r="B148" s="316"/>
      <c r="C148" s="316"/>
      <c r="D148" s="317"/>
      <c r="E148" s="318" t="s">
        <v>199</v>
      </c>
      <c r="F148" s="317"/>
      <c r="G148" s="310">
        <f t="shared" si="31"/>
        <v>0</v>
      </c>
      <c r="H148" s="319"/>
      <c r="I148" s="319"/>
      <c r="J148" s="310">
        <f t="shared" si="29"/>
        <v>0</v>
      </c>
      <c r="K148" s="320"/>
      <c r="L148" s="320"/>
      <c r="M148" s="310">
        <f t="shared" si="30"/>
        <v>0</v>
      </c>
      <c r="N148" s="319"/>
      <c r="O148" s="319"/>
      <c r="P148" s="310">
        <f t="shared" si="32"/>
        <v>0</v>
      </c>
      <c r="Q148" s="310">
        <f t="shared" si="33"/>
        <v>0</v>
      </c>
      <c r="R148" s="310">
        <f t="shared" si="34"/>
        <v>0</v>
      </c>
      <c r="S148" s="310">
        <f t="shared" si="35"/>
        <v>0</v>
      </c>
      <c r="T148" s="310">
        <f t="shared" si="36"/>
        <v>0</v>
      </c>
      <c r="U148" s="310">
        <f t="shared" si="37"/>
        <v>0</v>
      </c>
      <c r="V148" s="310">
        <f t="shared" si="38"/>
        <v>0</v>
      </c>
      <c r="W148" s="310">
        <f t="shared" si="39"/>
        <v>0</v>
      </c>
      <c r="X148" s="310">
        <f t="shared" si="40"/>
        <v>0</v>
      </c>
      <c r="Y148" s="321"/>
      <c r="Z148" s="322"/>
    </row>
    <row r="149" spans="1:26" s="323" customFormat="1" ht="12.75" customHeight="1">
      <c r="A149" s="324" t="s">
        <v>257</v>
      </c>
      <c r="B149" s="325" t="s">
        <v>228</v>
      </c>
      <c r="C149" s="325" t="s">
        <v>255</v>
      </c>
      <c r="D149" s="325" t="s">
        <v>197</v>
      </c>
      <c r="E149" s="318" t="s">
        <v>256</v>
      </c>
      <c r="F149" s="317"/>
      <c r="G149" s="310">
        <f t="shared" si="31"/>
        <v>-1338850.4</v>
      </c>
      <c r="H149" s="320">
        <f>+H151</f>
        <v>0</v>
      </c>
      <c r="I149" s="320">
        <f>+I151</f>
        <v>-1338850.4</v>
      </c>
      <c r="J149" s="310">
        <f t="shared" si="29"/>
        <v>-683595.8</v>
      </c>
      <c r="K149" s="320">
        <f>+K151</f>
        <v>0</v>
      </c>
      <c r="L149" s="320">
        <f>+L151</f>
        <v>-683595.8</v>
      </c>
      <c r="M149" s="310">
        <f t="shared" si="30"/>
        <v>-1533645</v>
      </c>
      <c r="N149" s="320">
        <f>+N151</f>
        <v>0</v>
      </c>
      <c r="O149" s="320">
        <f>+O151</f>
        <v>-1533645</v>
      </c>
      <c r="P149" s="310">
        <f t="shared" si="32"/>
        <v>-850049.2</v>
      </c>
      <c r="Q149" s="310">
        <f t="shared" si="33"/>
        <v>0</v>
      </c>
      <c r="R149" s="310">
        <f t="shared" si="34"/>
        <v>-850049.2</v>
      </c>
      <c r="S149" s="310">
        <f t="shared" si="35"/>
        <v>-1533645</v>
      </c>
      <c r="T149" s="310">
        <f t="shared" si="36"/>
        <v>0</v>
      </c>
      <c r="U149" s="310">
        <f t="shared" si="37"/>
        <v>-1533645</v>
      </c>
      <c r="V149" s="310">
        <f t="shared" si="38"/>
        <v>-1533645</v>
      </c>
      <c r="W149" s="310">
        <f t="shared" si="39"/>
        <v>0</v>
      </c>
      <c r="X149" s="310">
        <f t="shared" si="40"/>
        <v>-1533645</v>
      </c>
      <c r="Y149" s="321"/>
      <c r="Z149" s="322"/>
    </row>
    <row r="150" spans="1:26" s="323" customFormat="1" ht="12.75" customHeight="1">
      <c r="A150" s="315"/>
      <c r="B150" s="316"/>
      <c r="C150" s="316"/>
      <c r="D150" s="317"/>
      <c r="E150" s="318" t="s">
        <v>5</v>
      </c>
      <c r="F150" s="317"/>
      <c r="G150" s="310">
        <f t="shared" si="31"/>
        <v>0</v>
      </c>
      <c r="H150" s="319"/>
      <c r="I150" s="319"/>
      <c r="J150" s="310">
        <f t="shared" si="29"/>
        <v>0</v>
      </c>
      <c r="K150" s="320"/>
      <c r="L150" s="320"/>
      <c r="M150" s="310">
        <f t="shared" si="30"/>
        <v>0</v>
      </c>
      <c r="N150" s="319"/>
      <c r="O150" s="319"/>
      <c r="P150" s="310">
        <f t="shared" si="32"/>
        <v>0</v>
      </c>
      <c r="Q150" s="310">
        <f t="shared" si="33"/>
        <v>0</v>
      </c>
      <c r="R150" s="310">
        <f t="shared" si="34"/>
        <v>0</v>
      </c>
      <c r="S150" s="310">
        <f t="shared" si="35"/>
        <v>0</v>
      </c>
      <c r="T150" s="310">
        <f t="shared" si="36"/>
        <v>0</v>
      </c>
      <c r="U150" s="310">
        <f t="shared" si="37"/>
        <v>0</v>
      </c>
      <c r="V150" s="310">
        <f t="shared" si="38"/>
        <v>0</v>
      </c>
      <c r="W150" s="310">
        <f t="shared" si="39"/>
        <v>0</v>
      </c>
      <c r="X150" s="310">
        <f t="shared" si="40"/>
        <v>0</v>
      </c>
      <c r="Y150" s="321"/>
      <c r="Z150" s="322"/>
    </row>
    <row r="151" spans="1:26" s="314" customFormat="1" ht="25.5" customHeight="1">
      <c r="A151" s="305"/>
      <c r="B151" s="306"/>
      <c r="C151" s="306"/>
      <c r="D151" s="307"/>
      <c r="E151" s="308" t="s">
        <v>687</v>
      </c>
      <c r="F151" s="309"/>
      <c r="G151" s="310">
        <f t="shared" si="31"/>
        <v>-1338850.4</v>
      </c>
      <c r="H151" s="311">
        <f>+H152+H153+H154</f>
        <v>0</v>
      </c>
      <c r="I151" s="311">
        <f>+I152+I153+I154</f>
        <v>-1338850.4</v>
      </c>
      <c r="J151" s="310">
        <f t="shared" si="29"/>
        <v>-683595.8</v>
      </c>
      <c r="K151" s="311">
        <f>+K152+K153+K154</f>
        <v>0</v>
      </c>
      <c r="L151" s="311">
        <f>+L152+L153+L154</f>
        <v>-683595.8</v>
      </c>
      <c r="M151" s="310">
        <f t="shared" si="30"/>
        <v>-1533645</v>
      </c>
      <c r="N151" s="311">
        <f>+N152+N153+N154</f>
        <v>0</v>
      </c>
      <c r="O151" s="311">
        <f>+O152+O153+O154</f>
        <v>-1533645</v>
      </c>
      <c r="P151" s="310">
        <f t="shared" si="32"/>
        <v>-850049.2</v>
      </c>
      <c r="Q151" s="310">
        <f t="shared" si="33"/>
        <v>0</v>
      </c>
      <c r="R151" s="310">
        <f t="shared" si="34"/>
        <v>-850049.2</v>
      </c>
      <c r="S151" s="310">
        <f t="shared" si="35"/>
        <v>-1533645</v>
      </c>
      <c r="T151" s="310">
        <f t="shared" si="36"/>
        <v>0</v>
      </c>
      <c r="U151" s="310">
        <f t="shared" si="37"/>
        <v>-1533645</v>
      </c>
      <c r="V151" s="310">
        <f t="shared" si="38"/>
        <v>-1533645</v>
      </c>
      <c r="W151" s="310">
        <f t="shared" si="39"/>
        <v>0</v>
      </c>
      <c r="X151" s="310">
        <f t="shared" si="40"/>
        <v>-1533645</v>
      </c>
      <c r="Y151" s="312"/>
      <c r="Z151" s="313"/>
    </row>
    <row r="152" spans="1:26" s="323" customFormat="1" ht="12.75" customHeight="1">
      <c r="A152" s="315"/>
      <c r="B152" s="316"/>
      <c r="C152" s="316"/>
      <c r="D152" s="317"/>
      <c r="E152" s="318" t="s">
        <v>544</v>
      </c>
      <c r="F152" s="325" t="s">
        <v>545</v>
      </c>
      <c r="G152" s="310">
        <f t="shared" si="31"/>
        <v>-91026.8</v>
      </c>
      <c r="H152" s="319"/>
      <c r="I152" s="319">
        <v>-91026.8</v>
      </c>
      <c r="J152" s="310">
        <f t="shared" si="29"/>
        <v>0</v>
      </c>
      <c r="K152" s="320"/>
      <c r="L152" s="320"/>
      <c r="M152" s="310">
        <f t="shared" si="30"/>
        <v>0</v>
      </c>
      <c r="N152" s="319"/>
      <c r="O152" s="319"/>
      <c r="P152" s="310">
        <f t="shared" si="32"/>
        <v>0</v>
      </c>
      <c r="Q152" s="310">
        <f t="shared" si="33"/>
        <v>0</v>
      </c>
      <c r="R152" s="310">
        <f t="shared" si="34"/>
        <v>0</v>
      </c>
      <c r="S152" s="310">
        <f t="shared" si="35"/>
        <v>0</v>
      </c>
      <c r="T152" s="310">
        <f t="shared" si="36"/>
        <v>0</v>
      </c>
      <c r="U152" s="310">
        <f t="shared" si="37"/>
        <v>0</v>
      </c>
      <c r="V152" s="310">
        <f t="shared" si="38"/>
        <v>0</v>
      </c>
      <c r="W152" s="310">
        <f t="shared" si="39"/>
        <v>0</v>
      </c>
      <c r="X152" s="310">
        <f t="shared" si="40"/>
        <v>0</v>
      </c>
      <c r="Y152" s="321"/>
      <c r="Z152" s="322"/>
    </row>
    <row r="153" spans="1:26" s="323" customFormat="1" ht="12.75" customHeight="1">
      <c r="A153" s="315"/>
      <c r="B153" s="316"/>
      <c r="C153" s="316"/>
      <c r="D153" s="317"/>
      <c r="E153" s="326" t="s">
        <v>693</v>
      </c>
      <c r="F153" s="325">
        <v>8131</v>
      </c>
      <c r="G153" s="310">
        <f t="shared" si="31"/>
        <v>-8963.2</v>
      </c>
      <c r="H153" s="319"/>
      <c r="I153" s="319">
        <v>-8963.2</v>
      </c>
      <c r="J153" s="310">
        <f t="shared" si="29"/>
        <v>-283595.8</v>
      </c>
      <c r="K153" s="320"/>
      <c r="L153" s="320">
        <v>-283595.8</v>
      </c>
      <c r="M153" s="310">
        <f t="shared" si="30"/>
        <v>0</v>
      </c>
      <c r="N153" s="319"/>
      <c r="O153" s="319"/>
      <c r="P153" s="310">
        <f t="shared" si="32"/>
        <v>283595.8</v>
      </c>
      <c r="Q153" s="310">
        <f t="shared" si="33"/>
        <v>0</v>
      </c>
      <c r="R153" s="310">
        <f t="shared" si="34"/>
        <v>283595.8</v>
      </c>
      <c r="S153" s="310">
        <f t="shared" si="35"/>
        <v>0</v>
      </c>
      <c r="T153" s="310">
        <f t="shared" si="36"/>
        <v>0</v>
      </c>
      <c r="U153" s="310">
        <f t="shared" si="37"/>
        <v>0</v>
      </c>
      <c r="V153" s="310">
        <f t="shared" si="38"/>
        <v>0</v>
      </c>
      <c r="W153" s="310">
        <f t="shared" si="39"/>
        <v>0</v>
      </c>
      <c r="X153" s="310">
        <f t="shared" si="40"/>
        <v>0</v>
      </c>
      <c r="Y153" s="321"/>
      <c r="Z153" s="322"/>
    </row>
    <row r="154" spans="1:26" s="323" customFormat="1" ht="12.75" customHeight="1">
      <c r="A154" s="315"/>
      <c r="B154" s="316"/>
      <c r="C154" s="316"/>
      <c r="D154" s="317"/>
      <c r="E154" s="318" t="s">
        <v>552</v>
      </c>
      <c r="F154" s="325" t="s">
        <v>553</v>
      </c>
      <c r="G154" s="310">
        <f t="shared" si="31"/>
        <v>-1238860.4</v>
      </c>
      <c r="H154" s="319"/>
      <c r="I154" s="319">
        <v>-1238860.4</v>
      </c>
      <c r="J154" s="310">
        <f t="shared" si="29"/>
        <v>-400000</v>
      </c>
      <c r="K154" s="320"/>
      <c r="L154" s="320">
        <v>-400000</v>
      </c>
      <c r="M154" s="310">
        <f t="shared" si="30"/>
        <v>-1533645</v>
      </c>
      <c r="N154" s="319"/>
      <c r="O154" s="319">
        <v>-1533645</v>
      </c>
      <c r="P154" s="310">
        <f t="shared" si="32"/>
        <v>-1133645</v>
      </c>
      <c r="Q154" s="310">
        <f t="shared" si="33"/>
        <v>0</v>
      </c>
      <c r="R154" s="310">
        <f t="shared" si="34"/>
        <v>-1133645</v>
      </c>
      <c r="S154" s="310">
        <f t="shared" si="35"/>
        <v>-1533645</v>
      </c>
      <c r="T154" s="310">
        <f t="shared" si="36"/>
        <v>0</v>
      </c>
      <c r="U154" s="310">
        <f t="shared" si="37"/>
        <v>-1533645</v>
      </c>
      <c r="V154" s="310">
        <f t="shared" si="38"/>
        <v>-1533645</v>
      </c>
      <c r="W154" s="310">
        <f t="shared" si="39"/>
        <v>0</v>
      </c>
      <c r="X154" s="310">
        <f t="shared" si="40"/>
        <v>-1533645</v>
      </c>
      <c r="Y154" s="321"/>
      <c r="Z154" s="322"/>
    </row>
    <row r="155" spans="1:26" s="314" customFormat="1" ht="25.5" customHeight="1">
      <c r="A155" s="305" t="s">
        <v>258</v>
      </c>
      <c r="B155" s="306" t="s">
        <v>259</v>
      </c>
      <c r="C155" s="306" t="s">
        <v>194</v>
      </c>
      <c r="D155" s="307" t="s">
        <v>194</v>
      </c>
      <c r="E155" s="308" t="s">
        <v>260</v>
      </c>
      <c r="F155" s="309"/>
      <c r="G155" s="310">
        <f t="shared" si="31"/>
        <v>766362.2999999999</v>
      </c>
      <c r="H155" s="311">
        <f>+H157+H174+H189+H183+H187</f>
        <v>655307.3999999999</v>
      </c>
      <c r="I155" s="311">
        <f>+I157+I174+I189+I183</f>
        <v>111054.90000000001</v>
      </c>
      <c r="J155" s="310">
        <f t="shared" si="29"/>
        <v>791062.9</v>
      </c>
      <c r="K155" s="311">
        <f>+K157+K174+K189</f>
        <v>598575.9</v>
      </c>
      <c r="L155" s="311">
        <f>+L157+L174+L189</f>
        <v>192487</v>
      </c>
      <c r="M155" s="310">
        <f t="shared" si="30"/>
        <v>703000</v>
      </c>
      <c r="N155" s="311">
        <f>+N157+N174+N189+N183+N187</f>
        <v>663000</v>
      </c>
      <c r="O155" s="311">
        <f>+O157+O174+O189+O183</f>
        <v>40000</v>
      </c>
      <c r="P155" s="310">
        <f t="shared" si="32"/>
        <v>-88062.90000000002</v>
      </c>
      <c r="Q155" s="310">
        <f t="shared" si="33"/>
        <v>64424.09999999998</v>
      </c>
      <c r="R155" s="310">
        <f t="shared" si="34"/>
        <v>-152487</v>
      </c>
      <c r="S155" s="310">
        <f t="shared" si="35"/>
        <v>703000</v>
      </c>
      <c r="T155" s="310">
        <f t="shared" si="36"/>
        <v>663000</v>
      </c>
      <c r="U155" s="310">
        <f t="shared" si="37"/>
        <v>40000</v>
      </c>
      <c r="V155" s="310">
        <f t="shared" si="38"/>
        <v>703000</v>
      </c>
      <c r="W155" s="310">
        <f t="shared" si="39"/>
        <v>663000</v>
      </c>
      <c r="X155" s="310">
        <f t="shared" si="40"/>
        <v>40000</v>
      </c>
      <c r="Y155" s="312"/>
      <c r="Z155" s="313"/>
    </row>
    <row r="156" spans="1:26" ht="12.75" customHeight="1">
      <c r="A156" s="12"/>
      <c r="B156" s="14"/>
      <c r="C156" s="14"/>
      <c r="D156" s="102"/>
      <c r="E156" s="103" t="s">
        <v>5</v>
      </c>
      <c r="F156" s="102"/>
      <c r="G156" s="98">
        <f t="shared" si="31"/>
        <v>0</v>
      </c>
      <c r="H156" s="45"/>
      <c r="I156" s="45"/>
      <c r="J156" s="98">
        <f t="shared" si="29"/>
        <v>0</v>
      </c>
      <c r="K156" s="54"/>
      <c r="L156" s="54"/>
      <c r="M156" s="98">
        <f t="shared" si="30"/>
        <v>0</v>
      </c>
      <c r="N156" s="45"/>
      <c r="O156" s="45"/>
      <c r="P156" s="98">
        <f t="shared" si="32"/>
        <v>0</v>
      </c>
      <c r="Q156" s="98">
        <f t="shared" si="33"/>
        <v>0</v>
      </c>
      <c r="R156" s="98">
        <f t="shared" si="34"/>
        <v>0</v>
      </c>
      <c r="S156" s="98">
        <f t="shared" si="35"/>
        <v>0</v>
      </c>
      <c r="T156" s="98">
        <f t="shared" si="36"/>
        <v>0</v>
      </c>
      <c r="U156" s="98">
        <f t="shared" si="37"/>
        <v>0</v>
      </c>
      <c r="V156" s="98">
        <f t="shared" si="38"/>
        <v>0</v>
      </c>
      <c r="W156" s="98">
        <f t="shared" si="39"/>
        <v>0</v>
      </c>
      <c r="X156" s="98">
        <f t="shared" si="40"/>
        <v>0</v>
      </c>
      <c r="Y156" s="104"/>
      <c r="Z156" s="105"/>
    </row>
    <row r="157" spans="1:26" s="101" customFormat="1" ht="25.5" customHeight="1">
      <c r="A157" s="5" t="s">
        <v>261</v>
      </c>
      <c r="B157" s="6" t="s">
        <v>259</v>
      </c>
      <c r="C157" s="6" t="s">
        <v>197</v>
      </c>
      <c r="D157" s="82" t="s">
        <v>194</v>
      </c>
      <c r="E157" s="106" t="s">
        <v>262</v>
      </c>
      <c r="F157" s="110"/>
      <c r="G157" s="98">
        <f t="shared" si="31"/>
        <v>655370.7</v>
      </c>
      <c r="H157" s="111">
        <f>+H159</f>
        <v>608615.6</v>
      </c>
      <c r="I157" s="111">
        <f>+I159</f>
        <v>46755.1</v>
      </c>
      <c r="J157" s="98">
        <f t="shared" si="29"/>
        <v>580991.9</v>
      </c>
      <c r="K157" s="111">
        <f>+K159</f>
        <v>565991.9</v>
      </c>
      <c r="L157" s="111">
        <f>+L159</f>
        <v>15000</v>
      </c>
      <c r="M157" s="98">
        <f t="shared" si="30"/>
        <v>651000</v>
      </c>
      <c r="N157" s="111">
        <f>+N159</f>
        <v>631000</v>
      </c>
      <c r="O157" s="111">
        <f>+O159</f>
        <v>20000</v>
      </c>
      <c r="P157" s="98">
        <f t="shared" si="32"/>
        <v>70008.09999999998</v>
      </c>
      <c r="Q157" s="98">
        <f t="shared" si="33"/>
        <v>65008.09999999998</v>
      </c>
      <c r="R157" s="98">
        <f t="shared" si="34"/>
        <v>5000</v>
      </c>
      <c r="S157" s="98">
        <f t="shared" si="35"/>
        <v>651000</v>
      </c>
      <c r="T157" s="98">
        <f t="shared" si="36"/>
        <v>631000</v>
      </c>
      <c r="U157" s="98">
        <f t="shared" si="37"/>
        <v>20000</v>
      </c>
      <c r="V157" s="98">
        <f t="shared" si="38"/>
        <v>651000</v>
      </c>
      <c r="W157" s="98">
        <f t="shared" si="39"/>
        <v>631000</v>
      </c>
      <c r="X157" s="98">
        <f t="shared" si="40"/>
        <v>20000</v>
      </c>
      <c r="Y157" s="99"/>
      <c r="Z157" s="100"/>
    </row>
    <row r="158" spans="1:26" ht="12.75" customHeight="1">
      <c r="A158" s="12"/>
      <c r="B158" s="14"/>
      <c r="C158" s="14"/>
      <c r="D158" s="102"/>
      <c r="E158" s="103" t="s">
        <v>199</v>
      </c>
      <c r="F158" s="102"/>
      <c r="G158" s="98">
        <f t="shared" si="31"/>
        <v>0</v>
      </c>
      <c r="H158" s="45"/>
      <c r="I158" s="45"/>
      <c r="J158" s="98">
        <f t="shared" si="29"/>
        <v>0</v>
      </c>
      <c r="K158" s="54"/>
      <c r="L158" s="54"/>
      <c r="M158" s="98">
        <f t="shared" si="30"/>
        <v>0</v>
      </c>
      <c r="N158" s="45"/>
      <c r="O158" s="45"/>
      <c r="P158" s="98">
        <f t="shared" si="32"/>
        <v>0</v>
      </c>
      <c r="Q158" s="98">
        <f t="shared" si="33"/>
        <v>0</v>
      </c>
      <c r="R158" s="98">
        <f t="shared" si="34"/>
        <v>0</v>
      </c>
      <c r="S158" s="98">
        <f t="shared" si="35"/>
        <v>0</v>
      </c>
      <c r="T158" s="98">
        <f t="shared" si="36"/>
        <v>0</v>
      </c>
      <c r="U158" s="98">
        <f t="shared" si="37"/>
        <v>0</v>
      </c>
      <c r="V158" s="98">
        <f t="shared" si="38"/>
        <v>0</v>
      </c>
      <c r="W158" s="98">
        <f t="shared" si="39"/>
        <v>0</v>
      </c>
      <c r="X158" s="98">
        <f t="shared" si="40"/>
        <v>0</v>
      </c>
      <c r="Y158" s="104"/>
      <c r="Z158" s="105"/>
    </row>
    <row r="159" spans="1:26" ht="12.75" customHeight="1">
      <c r="A159" s="25" t="s">
        <v>263</v>
      </c>
      <c r="B159" s="26" t="s">
        <v>259</v>
      </c>
      <c r="C159" s="26" t="s">
        <v>197</v>
      </c>
      <c r="D159" s="26" t="s">
        <v>197</v>
      </c>
      <c r="E159" s="103" t="s">
        <v>262</v>
      </c>
      <c r="F159" s="102"/>
      <c r="G159" s="54">
        <f>+G161+G170</f>
        <v>630797.7</v>
      </c>
      <c r="H159" s="54">
        <f>+H161+H170</f>
        <v>608615.6</v>
      </c>
      <c r="I159" s="54">
        <f>+I161+I170</f>
        <v>46755.1</v>
      </c>
      <c r="J159" s="98">
        <f t="shared" si="29"/>
        <v>580991.9</v>
      </c>
      <c r="K159" s="54">
        <f>+K161+K170</f>
        <v>565991.9</v>
      </c>
      <c r="L159" s="54">
        <f aca="true" t="shared" si="41" ref="L159:X159">+L161+L170</f>
        <v>15000</v>
      </c>
      <c r="M159" s="54">
        <f t="shared" si="41"/>
        <v>651000</v>
      </c>
      <c r="N159" s="54">
        <f>+N161+N170</f>
        <v>631000</v>
      </c>
      <c r="O159" s="54">
        <f>+O161+O170</f>
        <v>20000</v>
      </c>
      <c r="P159" s="98">
        <f t="shared" si="32"/>
        <v>70008.09999999998</v>
      </c>
      <c r="Q159" s="98">
        <f t="shared" si="33"/>
        <v>65008.09999999998</v>
      </c>
      <c r="R159" s="98">
        <f t="shared" si="34"/>
        <v>5000</v>
      </c>
      <c r="S159" s="98">
        <f t="shared" si="35"/>
        <v>651000</v>
      </c>
      <c r="T159" s="98">
        <f t="shared" si="36"/>
        <v>631000</v>
      </c>
      <c r="U159" s="98">
        <f t="shared" si="37"/>
        <v>20000</v>
      </c>
      <c r="V159" s="98">
        <f t="shared" si="38"/>
        <v>651000</v>
      </c>
      <c r="W159" s="98">
        <f t="shared" si="39"/>
        <v>631000</v>
      </c>
      <c r="X159" s="98">
        <f t="shared" si="40"/>
        <v>20000</v>
      </c>
      <c r="Y159" s="104"/>
      <c r="Z159" s="105"/>
    </row>
    <row r="160" spans="1:26" ht="12.75" customHeight="1">
      <c r="A160" s="12"/>
      <c r="B160" s="14"/>
      <c r="C160" s="14"/>
      <c r="D160" s="102"/>
      <c r="E160" s="103" t="s">
        <v>5</v>
      </c>
      <c r="F160" s="102"/>
      <c r="G160" s="98"/>
      <c r="H160" s="45"/>
      <c r="I160" s="45"/>
      <c r="J160" s="98"/>
      <c r="K160" s="54"/>
      <c r="L160" s="54"/>
      <c r="M160" s="98"/>
      <c r="N160" s="45"/>
      <c r="O160" s="45"/>
      <c r="P160" s="98">
        <f t="shared" si="32"/>
        <v>0</v>
      </c>
      <c r="Q160" s="98">
        <f t="shared" si="33"/>
        <v>0</v>
      </c>
      <c r="R160" s="98">
        <f t="shared" si="34"/>
        <v>0</v>
      </c>
      <c r="S160" s="98">
        <f t="shared" si="35"/>
        <v>0</v>
      </c>
      <c r="T160" s="98">
        <f t="shared" si="36"/>
        <v>0</v>
      </c>
      <c r="U160" s="98">
        <f t="shared" si="37"/>
        <v>0</v>
      </c>
      <c r="V160" s="98">
        <f t="shared" si="38"/>
        <v>0</v>
      </c>
      <c r="W160" s="98">
        <f t="shared" si="39"/>
        <v>0</v>
      </c>
      <c r="X160" s="98">
        <f t="shared" si="40"/>
        <v>0</v>
      </c>
      <c r="Y160" s="104"/>
      <c r="Z160" s="105"/>
    </row>
    <row r="161" spans="1:26" s="101" customFormat="1" ht="25.5" customHeight="1">
      <c r="A161" s="5"/>
      <c r="B161" s="6"/>
      <c r="C161" s="6"/>
      <c r="D161" s="82"/>
      <c r="E161" s="106" t="s">
        <v>625</v>
      </c>
      <c r="F161" s="110"/>
      <c r="G161" s="111">
        <f>+G162+G163+G164+G165+G166+G167+G168</f>
        <v>559497.7</v>
      </c>
      <c r="H161" s="111">
        <f>+H162+H163+H164+H165+H166+H167+H168</f>
        <v>554115.6</v>
      </c>
      <c r="I161" s="111">
        <f>+I162+I163+I164+I165+I166+I167+I168+I169</f>
        <v>29955.1</v>
      </c>
      <c r="J161" s="98">
        <f t="shared" si="29"/>
        <v>519291.9</v>
      </c>
      <c r="K161" s="111">
        <f>+K162+K163+K164+K165+K166+K167+K168</f>
        <v>504291.9</v>
      </c>
      <c r="L161" s="111">
        <f aca="true" t="shared" si="42" ref="L161:X161">+L162+L163+L164+L165+L166+L167+L168</f>
        <v>15000</v>
      </c>
      <c r="M161" s="111">
        <f t="shared" si="42"/>
        <v>581000</v>
      </c>
      <c r="N161" s="111">
        <f>+N162+N163+N164+N165+N166+N167+N168</f>
        <v>561000</v>
      </c>
      <c r="O161" s="111">
        <f>+O162+O163+O164+O165+O166+O167+O168+O169</f>
        <v>20000</v>
      </c>
      <c r="P161" s="98">
        <f t="shared" si="32"/>
        <v>61708.09999999998</v>
      </c>
      <c r="Q161" s="98">
        <f t="shared" si="33"/>
        <v>56708.09999999998</v>
      </c>
      <c r="R161" s="98">
        <f t="shared" si="34"/>
        <v>5000</v>
      </c>
      <c r="S161" s="98">
        <f t="shared" si="35"/>
        <v>581000</v>
      </c>
      <c r="T161" s="98">
        <f t="shared" si="36"/>
        <v>561000</v>
      </c>
      <c r="U161" s="98">
        <f t="shared" si="37"/>
        <v>20000</v>
      </c>
      <c r="V161" s="98">
        <f t="shared" si="38"/>
        <v>581000</v>
      </c>
      <c r="W161" s="98">
        <f t="shared" si="39"/>
        <v>561000</v>
      </c>
      <c r="X161" s="98">
        <f t="shared" si="40"/>
        <v>20000</v>
      </c>
      <c r="Y161" s="99"/>
      <c r="Z161" s="100"/>
    </row>
    <row r="162" spans="1:26" s="101" customFormat="1" ht="13.5" customHeight="1">
      <c r="A162" s="5"/>
      <c r="B162" s="6"/>
      <c r="C162" s="6"/>
      <c r="D162" s="82"/>
      <c r="E162" s="103" t="s">
        <v>382</v>
      </c>
      <c r="F162" s="26">
        <v>4111</v>
      </c>
      <c r="G162" s="98"/>
      <c r="H162" s="111"/>
      <c r="I162" s="111"/>
      <c r="J162" s="98">
        <f t="shared" si="29"/>
        <v>1308</v>
      </c>
      <c r="K162" s="111">
        <f>788+520</f>
        <v>1308</v>
      </c>
      <c r="L162" s="111"/>
      <c r="M162" s="98"/>
      <c r="N162" s="111"/>
      <c r="O162" s="111"/>
      <c r="P162" s="98">
        <f t="shared" si="32"/>
        <v>-1308</v>
      </c>
      <c r="Q162" s="98">
        <f t="shared" si="33"/>
        <v>-1308</v>
      </c>
      <c r="R162" s="98">
        <f t="shared" si="34"/>
        <v>0</v>
      </c>
      <c r="S162" s="98">
        <f t="shared" si="35"/>
        <v>0</v>
      </c>
      <c r="T162" s="98">
        <f t="shared" si="36"/>
        <v>0</v>
      </c>
      <c r="U162" s="98">
        <f t="shared" si="37"/>
        <v>0</v>
      </c>
      <c r="V162" s="98">
        <f t="shared" si="38"/>
        <v>0</v>
      </c>
      <c r="W162" s="98">
        <f t="shared" si="39"/>
        <v>0</v>
      </c>
      <c r="X162" s="98">
        <f t="shared" si="40"/>
        <v>0</v>
      </c>
      <c r="Y162" s="99"/>
      <c r="Z162" s="100"/>
    </row>
    <row r="163" spans="1:26" s="101" customFormat="1" ht="10.5">
      <c r="A163" s="5"/>
      <c r="B163" s="6"/>
      <c r="C163" s="6"/>
      <c r="D163" s="82"/>
      <c r="E163" s="103" t="s">
        <v>392</v>
      </c>
      <c r="F163" s="26">
        <v>4213</v>
      </c>
      <c r="G163" s="98">
        <f aca="true" t="shared" si="43" ref="G163:G192">+H163+I163</f>
        <v>40239.6</v>
      </c>
      <c r="H163" s="45">
        <v>40239.6</v>
      </c>
      <c r="I163" s="45"/>
      <c r="J163" s="98">
        <f t="shared" si="29"/>
        <v>1745</v>
      </c>
      <c r="K163" s="111">
        <f>825.8+900+19.2</f>
        <v>1745</v>
      </c>
      <c r="L163" s="111"/>
      <c r="M163" s="98">
        <f t="shared" si="30"/>
        <v>0</v>
      </c>
      <c r="N163" s="45"/>
      <c r="O163" s="45"/>
      <c r="P163" s="98">
        <f t="shared" si="32"/>
        <v>-1745</v>
      </c>
      <c r="Q163" s="98">
        <f t="shared" si="33"/>
        <v>-1745</v>
      </c>
      <c r="R163" s="98">
        <f t="shared" si="34"/>
        <v>0</v>
      </c>
      <c r="S163" s="98">
        <f t="shared" si="35"/>
        <v>0</v>
      </c>
      <c r="T163" s="98">
        <f t="shared" si="36"/>
        <v>0</v>
      </c>
      <c r="U163" s="98">
        <f t="shared" si="37"/>
        <v>0</v>
      </c>
      <c r="V163" s="98">
        <f t="shared" si="38"/>
        <v>0</v>
      </c>
      <c r="W163" s="98">
        <f t="shared" si="39"/>
        <v>0</v>
      </c>
      <c r="X163" s="98">
        <f t="shared" si="40"/>
        <v>0</v>
      </c>
      <c r="Y163" s="99"/>
      <c r="Z163" s="100"/>
    </row>
    <row r="164" spans="1:26" s="101" customFormat="1" ht="21">
      <c r="A164" s="5"/>
      <c r="B164" s="6"/>
      <c r="C164" s="6"/>
      <c r="D164" s="82"/>
      <c r="E164" s="103" t="s">
        <v>431</v>
      </c>
      <c r="F164" s="26">
        <v>4252</v>
      </c>
      <c r="G164" s="98">
        <f t="shared" si="43"/>
        <v>0</v>
      </c>
      <c r="H164" s="45"/>
      <c r="I164" s="45"/>
      <c r="J164" s="98">
        <f t="shared" si="29"/>
        <v>90</v>
      </c>
      <c r="K164" s="111">
        <v>90</v>
      </c>
      <c r="L164" s="111"/>
      <c r="M164" s="98">
        <f t="shared" si="30"/>
        <v>0</v>
      </c>
      <c r="N164" s="45"/>
      <c r="O164" s="45"/>
      <c r="P164" s="98">
        <f t="shared" si="32"/>
        <v>-90</v>
      </c>
      <c r="Q164" s="98">
        <f t="shared" si="33"/>
        <v>-90</v>
      </c>
      <c r="R164" s="98">
        <f t="shared" si="34"/>
        <v>0</v>
      </c>
      <c r="S164" s="98">
        <f t="shared" si="35"/>
        <v>0</v>
      </c>
      <c r="T164" s="98">
        <f t="shared" si="36"/>
        <v>0</v>
      </c>
      <c r="U164" s="98">
        <f t="shared" si="37"/>
        <v>0</v>
      </c>
      <c r="V164" s="98">
        <f t="shared" si="38"/>
        <v>0</v>
      </c>
      <c r="W164" s="98">
        <f t="shared" si="39"/>
        <v>0</v>
      </c>
      <c r="X164" s="98">
        <f t="shared" si="40"/>
        <v>0</v>
      </c>
      <c r="Y164" s="99"/>
      <c r="Z164" s="100"/>
    </row>
    <row r="165" spans="1:26" s="101" customFormat="1" ht="10.5">
      <c r="A165" s="5"/>
      <c r="B165" s="6"/>
      <c r="C165" s="6"/>
      <c r="D165" s="82"/>
      <c r="E165" s="103" t="s">
        <v>437</v>
      </c>
      <c r="F165" s="26">
        <v>4264</v>
      </c>
      <c r="G165" s="98">
        <f t="shared" si="43"/>
        <v>0</v>
      </c>
      <c r="H165" s="45"/>
      <c r="I165" s="45"/>
      <c r="J165" s="98">
        <f t="shared" si="29"/>
        <v>1148.9</v>
      </c>
      <c r="K165" s="111">
        <f>825.7+123.5+199.7</f>
        <v>1148.9</v>
      </c>
      <c r="L165" s="111"/>
      <c r="M165" s="98">
        <f t="shared" si="30"/>
        <v>0</v>
      </c>
      <c r="N165" s="45"/>
      <c r="O165" s="45"/>
      <c r="P165" s="98">
        <f t="shared" si="32"/>
        <v>-1148.9</v>
      </c>
      <c r="Q165" s="98">
        <f t="shared" si="33"/>
        <v>-1148.9</v>
      </c>
      <c r="R165" s="98">
        <f t="shared" si="34"/>
        <v>0</v>
      </c>
      <c r="S165" s="98">
        <f t="shared" si="35"/>
        <v>0</v>
      </c>
      <c r="T165" s="98">
        <f t="shared" si="36"/>
        <v>0</v>
      </c>
      <c r="U165" s="98">
        <f t="shared" si="37"/>
        <v>0</v>
      </c>
      <c r="V165" s="98">
        <f t="shared" si="38"/>
        <v>0</v>
      </c>
      <c r="W165" s="98">
        <f t="shared" si="39"/>
        <v>0</v>
      </c>
      <c r="X165" s="98">
        <f t="shared" si="40"/>
        <v>0</v>
      </c>
      <c r="Y165" s="99"/>
      <c r="Z165" s="100"/>
    </row>
    <row r="166" spans="1:26" ht="12.75" customHeight="1">
      <c r="A166" s="12"/>
      <c r="B166" s="14"/>
      <c r="C166" s="14"/>
      <c r="D166" s="102"/>
      <c r="E166" s="103" t="s">
        <v>455</v>
      </c>
      <c r="F166" s="26">
        <v>4511</v>
      </c>
      <c r="G166" s="98">
        <f t="shared" si="43"/>
        <v>513876</v>
      </c>
      <c r="H166" s="45">
        <v>513876</v>
      </c>
      <c r="I166" s="45"/>
      <c r="J166" s="98">
        <f t="shared" si="29"/>
        <v>500000</v>
      </c>
      <c r="K166" s="54">
        <v>500000</v>
      </c>
      <c r="L166" s="54"/>
      <c r="M166" s="98">
        <f t="shared" si="30"/>
        <v>561000</v>
      </c>
      <c r="N166" s="45">
        <v>561000</v>
      </c>
      <c r="O166" s="45"/>
      <c r="P166" s="98">
        <f t="shared" si="32"/>
        <v>61000</v>
      </c>
      <c r="Q166" s="98">
        <f t="shared" si="33"/>
        <v>61000</v>
      </c>
      <c r="R166" s="98">
        <f t="shared" si="34"/>
        <v>0</v>
      </c>
      <c r="S166" s="98">
        <f t="shared" si="35"/>
        <v>561000</v>
      </c>
      <c r="T166" s="98">
        <f t="shared" si="36"/>
        <v>561000</v>
      </c>
      <c r="U166" s="98">
        <f t="shared" si="37"/>
        <v>0</v>
      </c>
      <c r="V166" s="98">
        <f t="shared" si="38"/>
        <v>561000</v>
      </c>
      <c r="W166" s="98">
        <f t="shared" si="39"/>
        <v>561000</v>
      </c>
      <c r="X166" s="98">
        <f t="shared" si="40"/>
        <v>0</v>
      </c>
      <c r="Y166" s="104"/>
      <c r="Z166" s="105"/>
    </row>
    <row r="167" spans="1:26" ht="12.75" customHeight="1">
      <c r="A167" s="12"/>
      <c r="B167" s="14"/>
      <c r="C167" s="14"/>
      <c r="D167" s="102"/>
      <c r="E167" s="103" t="s">
        <v>527</v>
      </c>
      <c r="F167" s="26">
        <v>5121</v>
      </c>
      <c r="G167" s="98">
        <f t="shared" si="43"/>
        <v>5236.1</v>
      </c>
      <c r="H167" s="45"/>
      <c r="I167" s="45">
        <v>5236.1</v>
      </c>
      <c r="J167" s="98">
        <f t="shared" si="29"/>
        <v>10000</v>
      </c>
      <c r="K167" s="54"/>
      <c r="L167" s="54">
        <v>10000</v>
      </c>
      <c r="M167" s="98">
        <f t="shared" si="30"/>
        <v>10000</v>
      </c>
      <c r="N167" s="45"/>
      <c r="O167" s="45">
        <v>10000</v>
      </c>
      <c r="P167" s="98">
        <f t="shared" si="32"/>
        <v>0</v>
      </c>
      <c r="Q167" s="98">
        <f t="shared" si="33"/>
        <v>0</v>
      </c>
      <c r="R167" s="98">
        <f t="shared" si="34"/>
        <v>0</v>
      </c>
      <c r="S167" s="98">
        <f t="shared" si="35"/>
        <v>10000</v>
      </c>
      <c r="T167" s="98">
        <f t="shared" si="36"/>
        <v>0</v>
      </c>
      <c r="U167" s="98">
        <f t="shared" si="37"/>
        <v>10000</v>
      </c>
      <c r="V167" s="98">
        <f t="shared" si="38"/>
        <v>10000</v>
      </c>
      <c r="W167" s="98">
        <f t="shared" si="39"/>
        <v>0</v>
      </c>
      <c r="X167" s="98">
        <f t="shared" si="40"/>
        <v>10000</v>
      </c>
      <c r="Y167" s="104"/>
      <c r="Z167" s="105"/>
    </row>
    <row r="168" spans="1:26" ht="12.75" customHeight="1">
      <c r="A168" s="12"/>
      <c r="B168" s="14"/>
      <c r="C168" s="14"/>
      <c r="D168" s="102"/>
      <c r="E168" s="103" t="s">
        <v>529</v>
      </c>
      <c r="F168" s="26">
        <v>5122</v>
      </c>
      <c r="G168" s="98">
        <f t="shared" si="43"/>
        <v>146</v>
      </c>
      <c r="H168" s="45"/>
      <c r="I168" s="45">
        <v>146</v>
      </c>
      <c r="J168" s="98">
        <f t="shared" si="29"/>
        <v>5000</v>
      </c>
      <c r="K168" s="54"/>
      <c r="L168" s="54">
        <v>5000</v>
      </c>
      <c r="M168" s="98">
        <f t="shared" si="30"/>
        <v>10000</v>
      </c>
      <c r="N168" s="45"/>
      <c r="O168" s="45">
        <v>10000</v>
      </c>
      <c r="P168" s="98">
        <f t="shared" si="32"/>
        <v>5000</v>
      </c>
      <c r="Q168" s="98">
        <f t="shared" si="33"/>
        <v>0</v>
      </c>
      <c r="R168" s="98">
        <f t="shared" si="34"/>
        <v>5000</v>
      </c>
      <c r="S168" s="98">
        <f t="shared" si="35"/>
        <v>10000</v>
      </c>
      <c r="T168" s="98">
        <f t="shared" si="36"/>
        <v>0</v>
      </c>
      <c r="U168" s="98">
        <f t="shared" si="37"/>
        <v>10000</v>
      </c>
      <c r="V168" s="98">
        <f t="shared" si="38"/>
        <v>10000</v>
      </c>
      <c r="W168" s="98">
        <f t="shared" si="39"/>
        <v>0</v>
      </c>
      <c r="X168" s="98">
        <f t="shared" si="40"/>
        <v>10000</v>
      </c>
      <c r="Y168" s="104"/>
      <c r="Z168" s="105"/>
    </row>
    <row r="169" spans="1:26" ht="12.75" customHeight="1">
      <c r="A169" s="12"/>
      <c r="B169" s="14"/>
      <c r="C169" s="14"/>
      <c r="D169" s="102"/>
      <c r="E169" s="13" t="s">
        <v>531</v>
      </c>
      <c r="F169" s="26">
        <v>5129</v>
      </c>
      <c r="G169" s="98">
        <f t="shared" si="43"/>
        <v>24573</v>
      </c>
      <c r="H169" s="45"/>
      <c r="I169" s="45">
        <v>24573</v>
      </c>
      <c r="J169" s="98"/>
      <c r="K169" s="54"/>
      <c r="L169" s="54"/>
      <c r="M169" s="98"/>
      <c r="N169" s="45"/>
      <c r="O169" s="45"/>
      <c r="P169" s="98">
        <f t="shared" si="32"/>
        <v>0</v>
      </c>
      <c r="Q169" s="98">
        <f t="shared" si="33"/>
        <v>0</v>
      </c>
      <c r="R169" s="98">
        <f t="shared" si="34"/>
        <v>0</v>
      </c>
      <c r="S169" s="98">
        <f t="shared" si="35"/>
        <v>0</v>
      </c>
      <c r="T169" s="98">
        <f t="shared" si="36"/>
        <v>0</v>
      </c>
      <c r="U169" s="98">
        <f t="shared" si="37"/>
        <v>0</v>
      </c>
      <c r="V169" s="98">
        <f t="shared" si="38"/>
        <v>0</v>
      </c>
      <c r="W169" s="98">
        <f t="shared" si="39"/>
        <v>0</v>
      </c>
      <c r="X169" s="98">
        <f t="shared" si="40"/>
        <v>0</v>
      </c>
      <c r="Y169" s="104"/>
      <c r="Z169" s="105"/>
    </row>
    <row r="170" spans="1:26" ht="12.75" customHeight="1">
      <c r="A170" s="12"/>
      <c r="B170" s="14"/>
      <c r="C170" s="14"/>
      <c r="D170" s="102"/>
      <c r="E170" s="106" t="s">
        <v>618</v>
      </c>
      <c r="F170" s="110"/>
      <c r="G170" s="98">
        <f t="shared" si="43"/>
        <v>71300</v>
      </c>
      <c r="H170" s="54">
        <f>+H171+H172+H173</f>
        <v>54500</v>
      </c>
      <c r="I170" s="54">
        <f>+I171+I172+I173</f>
        <v>16800</v>
      </c>
      <c r="J170" s="98">
        <f t="shared" si="29"/>
        <v>61700</v>
      </c>
      <c r="K170" s="54">
        <f>+K171</f>
        <v>61700</v>
      </c>
      <c r="L170" s="54">
        <f>+L171</f>
        <v>0</v>
      </c>
      <c r="M170" s="98">
        <f t="shared" si="30"/>
        <v>70000</v>
      </c>
      <c r="N170" s="54">
        <f>+N171+N172+N173</f>
        <v>70000</v>
      </c>
      <c r="O170" s="54">
        <f>+O171+O172+O173</f>
        <v>0</v>
      </c>
      <c r="P170" s="98">
        <f t="shared" si="32"/>
        <v>8300</v>
      </c>
      <c r="Q170" s="98">
        <f t="shared" si="33"/>
        <v>8300</v>
      </c>
      <c r="R170" s="98">
        <f t="shared" si="34"/>
        <v>0</v>
      </c>
      <c r="S170" s="98">
        <f t="shared" si="35"/>
        <v>70000</v>
      </c>
      <c r="T170" s="98">
        <f t="shared" si="36"/>
        <v>70000</v>
      </c>
      <c r="U170" s="98">
        <f t="shared" si="37"/>
        <v>0</v>
      </c>
      <c r="V170" s="98">
        <f t="shared" si="38"/>
        <v>70000</v>
      </c>
      <c r="W170" s="98">
        <f t="shared" si="39"/>
        <v>70000</v>
      </c>
      <c r="X170" s="98">
        <f t="shared" si="40"/>
        <v>0</v>
      </c>
      <c r="Y170" s="104"/>
      <c r="Z170" s="105"/>
    </row>
    <row r="171" spans="1:26" ht="12.75" customHeight="1">
      <c r="A171" s="12"/>
      <c r="B171" s="14"/>
      <c r="C171" s="14"/>
      <c r="D171" s="102"/>
      <c r="E171" s="103" t="s">
        <v>455</v>
      </c>
      <c r="F171" s="26">
        <v>4511</v>
      </c>
      <c r="G171" s="98">
        <f t="shared" si="43"/>
        <v>54500</v>
      </c>
      <c r="H171" s="45">
        <v>54500</v>
      </c>
      <c r="I171" s="45"/>
      <c r="J171" s="98">
        <f t="shared" si="29"/>
        <v>61700</v>
      </c>
      <c r="K171" s="54">
        <v>61700</v>
      </c>
      <c r="L171" s="54"/>
      <c r="M171" s="98">
        <f t="shared" si="30"/>
        <v>70000</v>
      </c>
      <c r="N171" s="45">
        <v>70000</v>
      </c>
      <c r="O171" s="45"/>
      <c r="P171" s="98">
        <f t="shared" si="32"/>
        <v>8300</v>
      </c>
      <c r="Q171" s="98">
        <f t="shared" si="33"/>
        <v>8300</v>
      </c>
      <c r="R171" s="98">
        <f t="shared" si="34"/>
        <v>0</v>
      </c>
      <c r="S171" s="98">
        <f t="shared" si="35"/>
        <v>70000</v>
      </c>
      <c r="T171" s="98">
        <f t="shared" si="36"/>
        <v>70000</v>
      </c>
      <c r="U171" s="98">
        <f t="shared" si="37"/>
        <v>0</v>
      </c>
      <c r="V171" s="98">
        <f t="shared" si="38"/>
        <v>70000</v>
      </c>
      <c r="W171" s="98">
        <f t="shared" si="39"/>
        <v>70000</v>
      </c>
      <c r="X171" s="98">
        <f t="shared" si="40"/>
        <v>0</v>
      </c>
      <c r="Y171" s="104"/>
      <c r="Z171" s="105"/>
    </row>
    <row r="172" spans="1:26" ht="12.75" customHeight="1">
      <c r="A172" s="12"/>
      <c r="B172" s="14"/>
      <c r="C172" s="14"/>
      <c r="D172" s="102"/>
      <c r="E172" s="103" t="s">
        <v>527</v>
      </c>
      <c r="F172" s="26">
        <v>5121</v>
      </c>
      <c r="G172" s="98">
        <f t="shared" si="43"/>
        <v>5800</v>
      </c>
      <c r="H172" s="45"/>
      <c r="I172" s="45">
        <v>5800</v>
      </c>
      <c r="J172" s="98"/>
      <c r="K172" s="54"/>
      <c r="L172" s="54"/>
      <c r="M172" s="98"/>
      <c r="N172" s="45"/>
      <c r="O172" s="45"/>
      <c r="P172" s="98">
        <f t="shared" si="32"/>
        <v>0</v>
      </c>
      <c r="Q172" s="98">
        <f t="shared" si="33"/>
        <v>0</v>
      </c>
      <c r="R172" s="98">
        <f t="shared" si="34"/>
        <v>0</v>
      </c>
      <c r="S172" s="98">
        <f t="shared" si="35"/>
        <v>0</v>
      </c>
      <c r="T172" s="98">
        <f t="shared" si="36"/>
        <v>0</v>
      </c>
      <c r="U172" s="98">
        <f t="shared" si="37"/>
        <v>0</v>
      </c>
      <c r="V172" s="98">
        <f t="shared" si="38"/>
        <v>0</v>
      </c>
      <c r="W172" s="98">
        <f t="shared" si="39"/>
        <v>0</v>
      </c>
      <c r="X172" s="98">
        <f t="shared" si="40"/>
        <v>0</v>
      </c>
      <c r="Y172" s="104"/>
      <c r="Z172" s="105"/>
    </row>
    <row r="173" spans="1:26" ht="12.75" customHeight="1">
      <c r="A173" s="12"/>
      <c r="B173" s="14"/>
      <c r="C173" s="14"/>
      <c r="D173" s="102"/>
      <c r="E173" s="13" t="s">
        <v>531</v>
      </c>
      <c r="F173" s="14" t="s">
        <v>532</v>
      </c>
      <c r="G173" s="98">
        <f t="shared" si="43"/>
        <v>11000</v>
      </c>
      <c r="H173" s="45"/>
      <c r="I173" s="45">
        <v>11000</v>
      </c>
      <c r="J173" s="98"/>
      <c r="K173" s="54"/>
      <c r="L173" s="54"/>
      <c r="M173" s="98"/>
      <c r="N173" s="45"/>
      <c r="O173" s="45"/>
      <c r="P173" s="98">
        <f t="shared" si="32"/>
        <v>0</v>
      </c>
      <c r="Q173" s="98">
        <f t="shared" si="33"/>
        <v>0</v>
      </c>
      <c r="R173" s="98">
        <f t="shared" si="34"/>
        <v>0</v>
      </c>
      <c r="S173" s="98">
        <f t="shared" si="35"/>
        <v>0</v>
      </c>
      <c r="T173" s="98">
        <f t="shared" si="36"/>
        <v>0</v>
      </c>
      <c r="U173" s="98">
        <f t="shared" si="37"/>
        <v>0</v>
      </c>
      <c r="V173" s="98">
        <f t="shared" si="38"/>
        <v>0</v>
      </c>
      <c r="W173" s="98">
        <f t="shared" si="39"/>
        <v>0</v>
      </c>
      <c r="X173" s="98">
        <f t="shared" si="40"/>
        <v>0</v>
      </c>
      <c r="Y173" s="104"/>
      <c r="Z173" s="105"/>
    </row>
    <row r="174" spans="1:26" s="101" customFormat="1" ht="46.5" customHeight="1">
      <c r="A174" s="5" t="s">
        <v>264</v>
      </c>
      <c r="B174" s="6" t="s">
        <v>259</v>
      </c>
      <c r="C174" s="6" t="s">
        <v>221</v>
      </c>
      <c r="D174" s="82" t="s">
        <v>194</v>
      </c>
      <c r="E174" s="106" t="s">
        <v>265</v>
      </c>
      <c r="F174" s="110"/>
      <c r="G174" s="98">
        <f t="shared" si="43"/>
        <v>21422.6</v>
      </c>
      <c r="H174" s="111">
        <f>+H176</f>
        <v>5290</v>
      </c>
      <c r="I174" s="111">
        <f>+I176</f>
        <v>16132.6</v>
      </c>
      <c r="J174" s="98">
        <f t="shared" si="29"/>
        <v>117487</v>
      </c>
      <c r="K174" s="111">
        <f>+K176</f>
        <v>0</v>
      </c>
      <c r="L174" s="111">
        <f>+L176</f>
        <v>117487</v>
      </c>
      <c r="M174" s="98">
        <f t="shared" si="30"/>
        <v>0</v>
      </c>
      <c r="N174" s="111">
        <f>+N176</f>
        <v>0</v>
      </c>
      <c r="O174" s="111">
        <f>+O176</f>
        <v>0</v>
      </c>
      <c r="P174" s="98">
        <f t="shared" si="32"/>
        <v>-117487</v>
      </c>
      <c r="Q174" s="98">
        <f t="shared" si="33"/>
        <v>0</v>
      </c>
      <c r="R174" s="98">
        <f t="shared" si="34"/>
        <v>-117487</v>
      </c>
      <c r="S174" s="98">
        <f t="shared" si="35"/>
        <v>0</v>
      </c>
      <c r="T174" s="98">
        <f t="shared" si="36"/>
        <v>0</v>
      </c>
      <c r="U174" s="98">
        <f t="shared" si="37"/>
        <v>0</v>
      </c>
      <c r="V174" s="98">
        <f t="shared" si="38"/>
        <v>0</v>
      </c>
      <c r="W174" s="98">
        <f t="shared" si="39"/>
        <v>0</v>
      </c>
      <c r="X174" s="98">
        <f t="shared" si="40"/>
        <v>0</v>
      </c>
      <c r="Y174" s="99"/>
      <c r="Z174" s="100"/>
    </row>
    <row r="175" spans="1:26" ht="12.75" customHeight="1">
      <c r="A175" s="12"/>
      <c r="B175" s="14"/>
      <c r="C175" s="14"/>
      <c r="D175" s="102"/>
      <c r="E175" s="103" t="s">
        <v>199</v>
      </c>
      <c r="F175" s="102"/>
      <c r="G175" s="98">
        <f t="shared" si="43"/>
        <v>0</v>
      </c>
      <c r="H175" s="45"/>
      <c r="I175" s="45"/>
      <c r="J175" s="98">
        <f t="shared" si="29"/>
        <v>0</v>
      </c>
      <c r="K175" s="54"/>
      <c r="L175" s="54"/>
      <c r="M175" s="98">
        <f t="shared" si="30"/>
        <v>0</v>
      </c>
      <c r="N175" s="45"/>
      <c r="O175" s="45"/>
      <c r="P175" s="98">
        <f t="shared" si="32"/>
        <v>0</v>
      </c>
      <c r="Q175" s="98">
        <f t="shared" si="33"/>
        <v>0</v>
      </c>
      <c r="R175" s="98">
        <f t="shared" si="34"/>
        <v>0</v>
      </c>
      <c r="S175" s="98">
        <f t="shared" si="35"/>
        <v>0</v>
      </c>
      <c r="T175" s="98">
        <f t="shared" si="36"/>
        <v>0</v>
      </c>
      <c r="U175" s="98">
        <f t="shared" si="37"/>
        <v>0</v>
      </c>
      <c r="V175" s="98">
        <f t="shared" si="38"/>
        <v>0</v>
      </c>
      <c r="W175" s="98">
        <f t="shared" si="39"/>
        <v>0</v>
      </c>
      <c r="X175" s="98">
        <f t="shared" si="40"/>
        <v>0</v>
      </c>
      <c r="Y175" s="104"/>
      <c r="Z175" s="105"/>
    </row>
    <row r="176" spans="1:26" ht="12.75" customHeight="1">
      <c r="A176" s="25" t="s">
        <v>266</v>
      </c>
      <c r="B176" s="26" t="s">
        <v>259</v>
      </c>
      <c r="C176" s="26" t="s">
        <v>221</v>
      </c>
      <c r="D176" s="26" t="s">
        <v>197</v>
      </c>
      <c r="E176" s="103" t="s">
        <v>265</v>
      </c>
      <c r="F176" s="102"/>
      <c r="G176" s="98">
        <f t="shared" si="43"/>
        <v>21422.6</v>
      </c>
      <c r="H176" s="54">
        <f>+H178</f>
        <v>5290</v>
      </c>
      <c r="I176" s="54">
        <f>+I178</f>
        <v>16132.6</v>
      </c>
      <c r="J176" s="98">
        <f t="shared" si="29"/>
        <v>117487</v>
      </c>
      <c r="K176" s="54">
        <f>+K178</f>
        <v>0</v>
      </c>
      <c r="L176" s="54">
        <f>+L178</f>
        <v>117487</v>
      </c>
      <c r="M176" s="98">
        <f t="shared" si="30"/>
        <v>0</v>
      </c>
      <c r="N176" s="54">
        <f>+N178</f>
        <v>0</v>
      </c>
      <c r="O176" s="54">
        <f>+O178</f>
        <v>0</v>
      </c>
      <c r="P176" s="98">
        <f t="shared" si="32"/>
        <v>-117487</v>
      </c>
      <c r="Q176" s="98">
        <f t="shared" si="33"/>
        <v>0</v>
      </c>
      <c r="R176" s="98">
        <f t="shared" si="34"/>
        <v>-117487</v>
      </c>
      <c r="S176" s="98">
        <f t="shared" si="35"/>
        <v>0</v>
      </c>
      <c r="T176" s="98">
        <f t="shared" si="36"/>
        <v>0</v>
      </c>
      <c r="U176" s="98">
        <f t="shared" si="37"/>
        <v>0</v>
      </c>
      <c r="V176" s="98">
        <f t="shared" si="38"/>
        <v>0</v>
      </c>
      <c r="W176" s="98">
        <f t="shared" si="39"/>
        <v>0</v>
      </c>
      <c r="X176" s="98">
        <f t="shared" si="40"/>
        <v>0</v>
      </c>
      <c r="Y176" s="104"/>
      <c r="Z176" s="105"/>
    </row>
    <row r="177" spans="1:26" ht="12.75" customHeight="1">
      <c r="A177" s="12"/>
      <c r="B177" s="14"/>
      <c r="C177" s="14"/>
      <c r="D177" s="102"/>
      <c r="E177" s="103" t="s">
        <v>5</v>
      </c>
      <c r="F177" s="102"/>
      <c r="G177" s="98">
        <f t="shared" si="43"/>
        <v>0</v>
      </c>
      <c r="H177" s="45"/>
      <c r="I177" s="45"/>
      <c r="J177" s="98">
        <f aca="true" t="shared" si="44" ref="J177:J268">+K177+L177</f>
        <v>0</v>
      </c>
      <c r="K177" s="54"/>
      <c r="L177" s="54"/>
      <c r="M177" s="98">
        <f aca="true" t="shared" si="45" ref="M177:M268">+N177+O177</f>
        <v>0</v>
      </c>
      <c r="N177" s="45"/>
      <c r="O177" s="45"/>
      <c r="P177" s="98">
        <f t="shared" si="32"/>
        <v>0</v>
      </c>
      <c r="Q177" s="98">
        <f t="shared" si="33"/>
        <v>0</v>
      </c>
      <c r="R177" s="98">
        <f t="shared" si="34"/>
        <v>0</v>
      </c>
      <c r="S177" s="98">
        <f t="shared" si="35"/>
        <v>0</v>
      </c>
      <c r="T177" s="98">
        <f t="shared" si="36"/>
        <v>0</v>
      </c>
      <c r="U177" s="98">
        <f t="shared" si="37"/>
        <v>0</v>
      </c>
      <c r="V177" s="98">
        <f t="shared" si="38"/>
        <v>0</v>
      </c>
      <c r="W177" s="98">
        <f t="shared" si="39"/>
        <v>0</v>
      </c>
      <c r="X177" s="98">
        <f t="shared" si="40"/>
        <v>0</v>
      </c>
      <c r="Y177" s="104"/>
      <c r="Z177" s="105"/>
    </row>
    <row r="178" spans="1:26" s="101" customFormat="1" ht="46.5" customHeight="1">
      <c r="A178" s="5"/>
      <c r="B178" s="6"/>
      <c r="C178" s="6"/>
      <c r="D178" s="82"/>
      <c r="E178" s="106" t="s">
        <v>676</v>
      </c>
      <c r="F178" s="110"/>
      <c r="G178" s="98">
        <f t="shared" si="43"/>
        <v>21422.6</v>
      </c>
      <c r="H178" s="111">
        <f>+H179</f>
        <v>5290</v>
      </c>
      <c r="I178" s="111">
        <f>+I180+I181+I182</f>
        <v>16132.6</v>
      </c>
      <c r="J178" s="98">
        <f t="shared" si="44"/>
        <v>117487</v>
      </c>
      <c r="K178" s="111">
        <f>+K180+K181+K182</f>
        <v>0</v>
      </c>
      <c r="L178" s="111">
        <f>+L180+L181+L182</f>
        <v>117487</v>
      </c>
      <c r="M178" s="98">
        <f t="shared" si="45"/>
        <v>0</v>
      </c>
      <c r="N178" s="111">
        <f>+N179</f>
        <v>0</v>
      </c>
      <c r="O178" s="111">
        <f>+O180+O181+O182</f>
        <v>0</v>
      </c>
      <c r="P178" s="98">
        <f t="shared" si="32"/>
        <v>-117487</v>
      </c>
      <c r="Q178" s="98">
        <f t="shared" si="33"/>
        <v>0</v>
      </c>
      <c r="R178" s="98">
        <f t="shared" si="34"/>
        <v>-117487</v>
      </c>
      <c r="S178" s="98">
        <f t="shared" si="35"/>
        <v>0</v>
      </c>
      <c r="T178" s="98">
        <f t="shared" si="36"/>
        <v>0</v>
      </c>
      <c r="U178" s="98">
        <f t="shared" si="37"/>
        <v>0</v>
      </c>
      <c r="V178" s="98">
        <f t="shared" si="38"/>
        <v>0</v>
      </c>
      <c r="W178" s="98">
        <f t="shared" si="39"/>
        <v>0</v>
      </c>
      <c r="X178" s="98">
        <f t="shared" si="40"/>
        <v>0</v>
      </c>
      <c r="Y178" s="99"/>
      <c r="Z178" s="100"/>
    </row>
    <row r="179" spans="1:26" s="101" customFormat="1" ht="13.5" customHeight="1">
      <c r="A179" s="5"/>
      <c r="B179" s="6"/>
      <c r="C179" s="6"/>
      <c r="D179" s="82"/>
      <c r="E179" s="103" t="s">
        <v>420</v>
      </c>
      <c r="F179" s="26">
        <v>4239</v>
      </c>
      <c r="G179" s="98">
        <f t="shared" si="43"/>
        <v>5290</v>
      </c>
      <c r="H179" s="111">
        <v>5290</v>
      </c>
      <c r="I179" s="111"/>
      <c r="J179" s="98"/>
      <c r="K179" s="111"/>
      <c r="L179" s="111"/>
      <c r="M179" s="98"/>
      <c r="N179" s="111"/>
      <c r="O179" s="111"/>
      <c r="P179" s="98">
        <f t="shared" si="32"/>
        <v>0</v>
      </c>
      <c r="Q179" s="98">
        <f t="shared" si="33"/>
        <v>0</v>
      </c>
      <c r="R179" s="98">
        <f t="shared" si="34"/>
        <v>0</v>
      </c>
      <c r="S179" s="98">
        <f t="shared" si="35"/>
        <v>0</v>
      </c>
      <c r="T179" s="98">
        <f t="shared" si="36"/>
        <v>0</v>
      </c>
      <c r="U179" s="98">
        <f t="shared" si="37"/>
        <v>0</v>
      </c>
      <c r="V179" s="98">
        <f t="shared" si="38"/>
        <v>0</v>
      </c>
      <c r="W179" s="98">
        <f t="shared" si="39"/>
        <v>0</v>
      </c>
      <c r="X179" s="98">
        <f t="shared" si="40"/>
        <v>0</v>
      </c>
      <c r="Y179" s="99"/>
      <c r="Z179" s="100"/>
    </row>
    <row r="180" spans="1:26" ht="12.75" customHeight="1">
      <c r="A180" s="12"/>
      <c r="B180" s="14"/>
      <c r="C180" s="14"/>
      <c r="D180" s="102"/>
      <c r="E180" s="103" t="s">
        <v>523</v>
      </c>
      <c r="F180" s="26" t="s">
        <v>522</v>
      </c>
      <c r="G180" s="98">
        <f t="shared" si="43"/>
        <v>16132.6</v>
      </c>
      <c r="H180" s="45"/>
      <c r="I180" s="45">
        <v>16132.6</v>
      </c>
      <c r="J180" s="98">
        <f t="shared" si="44"/>
        <v>102220</v>
      </c>
      <c r="K180" s="54"/>
      <c r="L180" s="54">
        <v>102220</v>
      </c>
      <c r="M180" s="98">
        <f t="shared" si="45"/>
        <v>0</v>
      </c>
      <c r="N180" s="45"/>
      <c r="O180" s="45"/>
      <c r="P180" s="98">
        <f t="shared" si="32"/>
        <v>-102220</v>
      </c>
      <c r="Q180" s="98">
        <f t="shared" si="33"/>
        <v>0</v>
      </c>
      <c r="R180" s="98">
        <f t="shared" si="34"/>
        <v>-102220</v>
      </c>
      <c r="S180" s="98">
        <f t="shared" si="35"/>
        <v>0</v>
      </c>
      <c r="T180" s="98">
        <f t="shared" si="36"/>
        <v>0</v>
      </c>
      <c r="U180" s="98">
        <f t="shared" si="37"/>
        <v>0</v>
      </c>
      <c r="V180" s="98">
        <f t="shared" si="38"/>
        <v>0</v>
      </c>
      <c r="W180" s="98">
        <f t="shared" si="39"/>
        <v>0</v>
      </c>
      <c r="X180" s="98">
        <f t="shared" si="40"/>
        <v>0</v>
      </c>
      <c r="Y180" s="104"/>
      <c r="Z180" s="105"/>
    </row>
    <row r="181" spans="1:26" ht="12.75" customHeight="1">
      <c r="A181" s="12"/>
      <c r="B181" s="14"/>
      <c r="C181" s="14"/>
      <c r="D181" s="102"/>
      <c r="E181" s="103" t="s">
        <v>529</v>
      </c>
      <c r="F181" s="26">
        <v>5122</v>
      </c>
      <c r="G181" s="98">
        <f t="shared" si="43"/>
        <v>0</v>
      </c>
      <c r="H181" s="45"/>
      <c r="I181" s="45"/>
      <c r="J181" s="98">
        <f t="shared" si="44"/>
        <v>10000</v>
      </c>
      <c r="K181" s="54"/>
      <c r="L181" s="54">
        <v>10000</v>
      </c>
      <c r="M181" s="98">
        <f t="shared" si="45"/>
        <v>0</v>
      </c>
      <c r="N181" s="45"/>
      <c r="O181" s="45"/>
      <c r="P181" s="98">
        <f t="shared" si="32"/>
        <v>-10000</v>
      </c>
      <c r="Q181" s="98">
        <f t="shared" si="33"/>
        <v>0</v>
      </c>
      <c r="R181" s="98">
        <f t="shared" si="34"/>
        <v>-10000</v>
      </c>
      <c r="S181" s="98">
        <f t="shared" si="35"/>
        <v>0</v>
      </c>
      <c r="T181" s="98">
        <f t="shared" si="36"/>
        <v>0</v>
      </c>
      <c r="U181" s="98">
        <f t="shared" si="37"/>
        <v>0</v>
      </c>
      <c r="V181" s="98">
        <f t="shared" si="38"/>
        <v>0</v>
      </c>
      <c r="W181" s="98">
        <f t="shared" si="39"/>
        <v>0</v>
      </c>
      <c r="X181" s="98">
        <f t="shared" si="40"/>
        <v>0</v>
      </c>
      <c r="Y181" s="104"/>
      <c r="Z181" s="105"/>
    </row>
    <row r="182" spans="1:26" ht="12.75" customHeight="1">
      <c r="A182" s="12"/>
      <c r="B182" s="14"/>
      <c r="C182" s="14"/>
      <c r="D182" s="102"/>
      <c r="E182" s="103" t="s">
        <v>677</v>
      </c>
      <c r="F182" s="26">
        <v>5134</v>
      </c>
      <c r="G182" s="98">
        <f t="shared" si="43"/>
        <v>0</v>
      </c>
      <c r="H182" s="45"/>
      <c r="I182" s="45"/>
      <c r="J182" s="98">
        <f t="shared" si="44"/>
        <v>5267</v>
      </c>
      <c r="K182" s="54"/>
      <c r="L182" s="54">
        <v>5267</v>
      </c>
      <c r="M182" s="98">
        <f t="shared" si="45"/>
        <v>0</v>
      </c>
      <c r="N182" s="45"/>
      <c r="O182" s="45"/>
      <c r="P182" s="98">
        <f t="shared" si="32"/>
        <v>-5267</v>
      </c>
      <c r="Q182" s="98">
        <f t="shared" si="33"/>
        <v>0</v>
      </c>
      <c r="R182" s="98">
        <f t="shared" si="34"/>
        <v>-5267</v>
      </c>
      <c r="S182" s="98">
        <f t="shared" si="35"/>
        <v>0</v>
      </c>
      <c r="T182" s="98">
        <f t="shared" si="36"/>
        <v>0</v>
      </c>
      <c r="U182" s="98">
        <f t="shared" si="37"/>
        <v>0</v>
      </c>
      <c r="V182" s="98">
        <f t="shared" si="38"/>
        <v>0</v>
      </c>
      <c r="W182" s="98">
        <f t="shared" si="39"/>
        <v>0</v>
      </c>
      <c r="X182" s="98">
        <f t="shared" si="40"/>
        <v>0</v>
      </c>
      <c r="Y182" s="104"/>
      <c r="Z182" s="105"/>
    </row>
    <row r="183" spans="1:26" ht="12.75" customHeight="1">
      <c r="A183" s="12">
        <v>2530</v>
      </c>
      <c r="B183" s="119" t="s">
        <v>259</v>
      </c>
      <c r="C183" s="119" t="s">
        <v>702</v>
      </c>
      <c r="D183" s="120"/>
      <c r="E183" s="28" t="s">
        <v>268</v>
      </c>
      <c r="F183" s="26"/>
      <c r="G183" s="98">
        <f t="shared" si="43"/>
        <v>28141.199999999997</v>
      </c>
      <c r="H183" s="45">
        <f>+H184</f>
        <v>4426.9</v>
      </c>
      <c r="I183" s="45">
        <f>+I184</f>
        <v>23714.3</v>
      </c>
      <c r="J183" s="98"/>
      <c r="K183" s="54"/>
      <c r="L183" s="54"/>
      <c r="M183" s="98"/>
      <c r="N183" s="45">
        <f>+N184</f>
        <v>0</v>
      </c>
      <c r="O183" s="45">
        <f>+O184</f>
        <v>0</v>
      </c>
      <c r="P183" s="98">
        <f t="shared" si="32"/>
        <v>0</v>
      </c>
      <c r="Q183" s="98">
        <f t="shared" si="33"/>
        <v>0</v>
      </c>
      <c r="R183" s="98">
        <f t="shared" si="34"/>
        <v>0</v>
      </c>
      <c r="S183" s="98">
        <f t="shared" si="35"/>
        <v>0</v>
      </c>
      <c r="T183" s="98">
        <f t="shared" si="36"/>
        <v>0</v>
      </c>
      <c r="U183" s="98">
        <f t="shared" si="37"/>
        <v>0</v>
      </c>
      <c r="V183" s="98">
        <f t="shared" si="38"/>
        <v>0</v>
      </c>
      <c r="W183" s="98">
        <f t="shared" si="39"/>
        <v>0</v>
      </c>
      <c r="X183" s="98">
        <f t="shared" si="40"/>
        <v>0</v>
      </c>
      <c r="Y183" s="104"/>
      <c r="Z183" s="105"/>
    </row>
    <row r="184" spans="1:26" ht="12.75" customHeight="1">
      <c r="A184" s="12">
        <v>2531</v>
      </c>
      <c r="B184" s="119" t="s">
        <v>259</v>
      </c>
      <c r="C184" s="119" t="s">
        <v>702</v>
      </c>
      <c r="D184" s="120" t="s">
        <v>193</v>
      </c>
      <c r="E184" s="13" t="s">
        <v>270</v>
      </c>
      <c r="F184" s="26"/>
      <c r="G184" s="98">
        <f t="shared" si="43"/>
        <v>28141.199999999997</v>
      </c>
      <c r="H184" s="45">
        <f>+H185+H186</f>
        <v>4426.9</v>
      </c>
      <c r="I184" s="45">
        <f>+I185+I186</f>
        <v>23714.3</v>
      </c>
      <c r="J184" s="98"/>
      <c r="K184" s="54"/>
      <c r="L184" s="54"/>
      <c r="M184" s="98"/>
      <c r="N184" s="45">
        <f>+N185+N186</f>
        <v>0</v>
      </c>
      <c r="O184" s="45">
        <f>+O185+O186</f>
        <v>0</v>
      </c>
      <c r="P184" s="98">
        <f t="shared" si="32"/>
        <v>0</v>
      </c>
      <c r="Q184" s="98">
        <f t="shared" si="33"/>
        <v>0</v>
      </c>
      <c r="R184" s="98">
        <f t="shared" si="34"/>
        <v>0</v>
      </c>
      <c r="S184" s="98">
        <f t="shared" si="35"/>
        <v>0</v>
      </c>
      <c r="T184" s="98">
        <f t="shared" si="36"/>
        <v>0</v>
      </c>
      <c r="U184" s="98">
        <f t="shared" si="37"/>
        <v>0</v>
      </c>
      <c r="V184" s="98">
        <f t="shared" si="38"/>
        <v>0</v>
      </c>
      <c r="W184" s="98">
        <f t="shared" si="39"/>
        <v>0</v>
      </c>
      <c r="X184" s="98">
        <f t="shared" si="40"/>
        <v>0</v>
      </c>
      <c r="Y184" s="104"/>
      <c r="Z184" s="105"/>
    </row>
    <row r="185" spans="1:26" ht="12.75" customHeight="1">
      <c r="A185" s="12"/>
      <c r="B185" s="119"/>
      <c r="C185" s="119"/>
      <c r="D185" s="120"/>
      <c r="E185" s="103" t="s">
        <v>420</v>
      </c>
      <c r="F185" s="26">
        <v>4239</v>
      </c>
      <c r="G185" s="98">
        <f t="shared" si="43"/>
        <v>4426.9</v>
      </c>
      <c r="H185" s="45">
        <v>4426.9</v>
      </c>
      <c r="I185" s="45"/>
      <c r="J185" s="98"/>
      <c r="K185" s="54"/>
      <c r="L185" s="54"/>
      <c r="M185" s="98"/>
      <c r="N185" s="45"/>
      <c r="O185" s="45"/>
      <c r="P185" s="98">
        <f t="shared" si="32"/>
        <v>0</v>
      </c>
      <c r="Q185" s="98">
        <f t="shared" si="33"/>
        <v>0</v>
      </c>
      <c r="R185" s="98">
        <f t="shared" si="34"/>
        <v>0</v>
      </c>
      <c r="S185" s="98">
        <f t="shared" si="35"/>
        <v>0</v>
      </c>
      <c r="T185" s="98">
        <f t="shared" si="36"/>
        <v>0</v>
      </c>
      <c r="U185" s="98">
        <f t="shared" si="37"/>
        <v>0</v>
      </c>
      <c r="V185" s="98">
        <f t="shared" si="38"/>
        <v>0</v>
      </c>
      <c r="W185" s="98">
        <f t="shared" si="39"/>
        <v>0</v>
      </c>
      <c r="X185" s="98">
        <f t="shared" si="40"/>
        <v>0</v>
      </c>
      <c r="Y185" s="104"/>
      <c r="Z185" s="105"/>
    </row>
    <row r="186" spans="1:26" ht="12.75" customHeight="1">
      <c r="A186" s="12"/>
      <c r="B186" s="14"/>
      <c r="C186" s="14"/>
      <c r="D186" s="102"/>
      <c r="E186" s="103" t="s">
        <v>523</v>
      </c>
      <c r="F186" s="26" t="s">
        <v>522</v>
      </c>
      <c r="G186" s="98">
        <f t="shared" si="43"/>
        <v>23714.3</v>
      </c>
      <c r="H186" s="45"/>
      <c r="I186" s="45">
        <v>23714.3</v>
      </c>
      <c r="J186" s="98"/>
      <c r="K186" s="54"/>
      <c r="L186" s="54"/>
      <c r="M186" s="98"/>
      <c r="N186" s="45"/>
      <c r="O186" s="45"/>
      <c r="P186" s="98">
        <f t="shared" si="32"/>
        <v>0</v>
      </c>
      <c r="Q186" s="98">
        <f t="shared" si="33"/>
        <v>0</v>
      </c>
      <c r="R186" s="98">
        <f t="shared" si="34"/>
        <v>0</v>
      </c>
      <c r="S186" s="98">
        <f t="shared" si="35"/>
        <v>0</v>
      </c>
      <c r="T186" s="98">
        <f t="shared" si="36"/>
        <v>0</v>
      </c>
      <c r="U186" s="98">
        <f t="shared" si="37"/>
        <v>0</v>
      </c>
      <c r="V186" s="98">
        <f t="shared" si="38"/>
        <v>0</v>
      </c>
      <c r="W186" s="98">
        <f t="shared" si="39"/>
        <v>0</v>
      </c>
      <c r="X186" s="98">
        <f t="shared" si="40"/>
        <v>0</v>
      </c>
      <c r="Y186" s="104"/>
      <c r="Z186" s="105"/>
    </row>
    <row r="187" spans="1:26" ht="12.75" customHeight="1">
      <c r="A187" s="12">
        <v>2540</v>
      </c>
      <c r="B187" s="26">
        <v>5</v>
      </c>
      <c r="C187" s="26">
        <v>4</v>
      </c>
      <c r="D187" s="26">
        <v>0</v>
      </c>
      <c r="E187" s="13" t="s">
        <v>708</v>
      </c>
      <c r="F187" s="26"/>
      <c r="G187" s="98">
        <f t="shared" si="43"/>
        <v>31.2</v>
      </c>
      <c r="H187" s="45">
        <f>+H188</f>
        <v>31.2</v>
      </c>
      <c r="I187" s="45"/>
      <c r="J187" s="98"/>
      <c r="K187" s="54"/>
      <c r="L187" s="54"/>
      <c r="M187" s="98"/>
      <c r="N187" s="45">
        <f>+N188</f>
        <v>0</v>
      </c>
      <c r="O187" s="45"/>
      <c r="P187" s="98">
        <f t="shared" si="32"/>
        <v>0</v>
      </c>
      <c r="Q187" s="98">
        <f t="shared" si="33"/>
        <v>0</v>
      </c>
      <c r="R187" s="98">
        <f t="shared" si="34"/>
        <v>0</v>
      </c>
      <c r="S187" s="98">
        <f t="shared" si="35"/>
        <v>0</v>
      </c>
      <c r="T187" s="98">
        <f t="shared" si="36"/>
        <v>0</v>
      </c>
      <c r="U187" s="98">
        <f t="shared" si="37"/>
        <v>0</v>
      </c>
      <c r="V187" s="98">
        <f t="shared" si="38"/>
        <v>0</v>
      </c>
      <c r="W187" s="98">
        <f t="shared" si="39"/>
        <v>0</v>
      </c>
      <c r="X187" s="98">
        <f t="shared" si="40"/>
        <v>0</v>
      </c>
      <c r="Y187" s="104"/>
      <c r="Z187" s="105"/>
    </row>
    <row r="188" spans="1:26" ht="12.75" customHeight="1">
      <c r="A188" s="12">
        <v>2541</v>
      </c>
      <c r="B188" s="26">
        <v>5</v>
      </c>
      <c r="C188" s="26">
        <v>4</v>
      </c>
      <c r="D188" s="26">
        <v>1</v>
      </c>
      <c r="E188" s="13" t="s">
        <v>709</v>
      </c>
      <c r="F188" s="26">
        <v>4239</v>
      </c>
      <c r="G188" s="98">
        <f t="shared" si="43"/>
        <v>31.2</v>
      </c>
      <c r="H188" s="45">
        <v>31.2</v>
      </c>
      <c r="I188" s="45"/>
      <c r="J188" s="98"/>
      <c r="K188" s="54"/>
      <c r="L188" s="54"/>
      <c r="M188" s="98"/>
      <c r="N188" s="45"/>
      <c r="O188" s="45"/>
      <c r="P188" s="98">
        <f t="shared" si="32"/>
        <v>0</v>
      </c>
      <c r="Q188" s="98">
        <f t="shared" si="33"/>
        <v>0</v>
      </c>
      <c r="R188" s="98">
        <f t="shared" si="34"/>
        <v>0</v>
      </c>
      <c r="S188" s="98">
        <f t="shared" si="35"/>
        <v>0</v>
      </c>
      <c r="T188" s="98">
        <f t="shared" si="36"/>
        <v>0</v>
      </c>
      <c r="U188" s="98">
        <f t="shared" si="37"/>
        <v>0</v>
      </c>
      <c r="V188" s="98">
        <f t="shared" si="38"/>
        <v>0</v>
      </c>
      <c r="W188" s="98">
        <f t="shared" si="39"/>
        <v>0</v>
      </c>
      <c r="X188" s="98">
        <f t="shared" si="40"/>
        <v>0</v>
      </c>
      <c r="Y188" s="104"/>
      <c r="Z188" s="105"/>
    </row>
    <row r="189" spans="1:26" s="101" customFormat="1" ht="46.5" customHeight="1">
      <c r="A189" s="5" t="s">
        <v>271</v>
      </c>
      <c r="B189" s="6" t="s">
        <v>259</v>
      </c>
      <c r="C189" s="6" t="s">
        <v>214</v>
      </c>
      <c r="D189" s="82" t="s">
        <v>194</v>
      </c>
      <c r="E189" s="106" t="s">
        <v>272</v>
      </c>
      <c r="F189" s="110"/>
      <c r="G189" s="98">
        <f t="shared" si="43"/>
        <v>61396.6</v>
      </c>
      <c r="H189" s="111">
        <f>+H191</f>
        <v>36943.7</v>
      </c>
      <c r="I189" s="111">
        <f>+I191</f>
        <v>24452.9</v>
      </c>
      <c r="J189" s="98">
        <f t="shared" si="44"/>
        <v>92584</v>
      </c>
      <c r="K189" s="111">
        <f>+K191</f>
        <v>32584</v>
      </c>
      <c r="L189" s="111">
        <f>+L191</f>
        <v>60000</v>
      </c>
      <c r="M189" s="98">
        <f t="shared" si="45"/>
        <v>52000</v>
      </c>
      <c r="N189" s="111">
        <f>+N191</f>
        <v>32000</v>
      </c>
      <c r="O189" s="111">
        <f>+O191</f>
        <v>20000</v>
      </c>
      <c r="P189" s="98">
        <f t="shared" si="32"/>
        <v>-40584</v>
      </c>
      <c r="Q189" s="98">
        <f t="shared" si="33"/>
        <v>-584</v>
      </c>
      <c r="R189" s="98">
        <f t="shared" si="34"/>
        <v>-40000</v>
      </c>
      <c r="S189" s="98">
        <f t="shared" si="35"/>
        <v>52000</v>
      </c>
      <c r="T189" s="98">
        <f t="shared" si="36"/>
        <v>32000</v>
      </c>
      <c r="U189" s="98">
        <f t="shared" si="37"/>
        <v>20000</v>
      </c>
      <c r="V189" s="98">
        <f t="shared" si="38"/>
        <v>52000</v>
      </c>
      <c r="W189" s="98">
        <f t="shared" si="39"/>
        <v>32000</v>
      </c>
      <c r="X189" s="98">
        <f t="shared" si="40"/>
        <v>20000</v>
      </c>
      <c r="Y189" s="99"/>
      <c r="Z189" s="100"/>
    </row>
    <row r="190" spans="1:26" ht="12.75" customHeight="1">
      <c r="A190" s="12"/>
      <c r="B190" s="14"/>
      <c r="C190" s="14"/>
      <c r="D190" s="102"/>
      <c r="E190" s="103" t="s">
        <v>199</v>
      </c>
      <c r="F190" s="102"/>
      <c r="G190" s="98">
        <f t="shared" si="43"/>
        <v>0</v>
      </c>
      <c r="H190" s="45"/>
      <c r="I190" s="45"/>
      <c r="J190" s="98">
        <f t="shared" si="44"/>
        <v>0</v>
      </c>
      <c r="K190" s="54"/>
      <c r="L190" s="54"/>
      <c r="M190" s="98">
        <f t="shared" si="45"/>
        <v>0</v>
      </c>
      <c r="N190" s="45"/>
      <c r="O190" s="45"/>
      <c r="P190" s="98">
        <f t="shared" si="32"/>
        <v>0</v>
      </c>
      <c r="Q190" s="98">
        <f t="shared" si="33"/>
        <v>0</v>
      </c>
      <c r="R190" s="98">
        <f t="shared" si="34"/>
        <v>0</v>
      </c>
      <c r="S190" s="98">
        <f t="shared" si="35"/>
        <v>0</v>
      </c>
      <c r="T190" s="98">
        <f t="shared" si="36"/>
        <v>0</v>
      </c>
      <c r="U190" s="98">
        <f t="shared" si="37"/>
        <v>0</v>
      </c>
      <c r="V190" s="98">
        <f t="shared" si="38"/>
        <v>0</v>
      </c>
      <c r="W190" s="98">
        <f t="shared" si="39"/>
        <v>0</v>
      </c>
      <c r="X190" s="98">
        <f t="shared" si="40"/>
        <v>0</v>
      </c>
      <c r="Y190" s="104"/>
      <c r="Z190" s="105"/>
    </row>
    <row r="191" spans="1:26" ht="12.75" customHeight="1">
      <c r="A191" s="25" t="s">
        <v>273</v>
      </c>
      <c r="B191" s="26" t="s">
        <v>259</v>
      </c>
      <c r="C191" s="26" t="s">
        <v>214</v>
      </c>
      <c r="D191" s="26" t="s">
        <v>197</v>
      </c>
      <c r="E191" s="103" t="s">
        <v>272</v>
      </c>
      <c r="F191" s="102"/>
      <c r="G191" s="98">
        <f t="shared" si="43"/>
        <v>61396.6</v>
      </c>
      <c r="H191" s="54">
        <f>+H193</f>
        <v>36943.7</v>
      </c>
      <c r="I191" s="54">
        <f>+I193</f>
        <v>24452.9</v>
      </c>
      <c r="J191" s="98">
        <f t="shared" si="44"/>
        <v>92584</v>
      </c>
      <c r="K191" s="54">
        <f>+K193</f>
        <v>32584</v>
      </c>
      <c r="L191" s="54">
        <f>+L193</f>
        <v>60000</v>
      </c>
      <c r="M191" s="98">
        <f t="shared" si="45"/>
        <v>52000</v>
      </c>
      <c r="N191" s="54">
        <f>+N193</f>
        <v>32000</v>
      </c>
      <c r="O191" s="54">
        <f>+O193</f>
        <v>20000</v>
      </c>
      <c r="P191" s="98">
        <f t="shared" si="32"/>
        <v>-40584</v>
      </c>
      <c r="Q191" s="98">
        <f t="shared" si="33"/>
        <v>-584</v>
      </c>
      <c r="R191" s="98">
        <f t="shared" si="34"/>
        <v>-40000</v>
      </c>
      <c r="S191" s="98">
        <f t="shared" si="35"/>
        <v>52000</v>
      </c>
      <c r="T191" s="98">
        <f t="shared" si="36"/>
        <v>32000</v>
      </c>
      <c r="U191" s="98">
        <f t="shared" si="37"/>
        <v>20000</v>
      </c>
      <c r="V191" s="98">
        <f t="shared" si="38"/>
        <v>52000</v>
      </c>
      <c r="W191" s="98">
        <f t="shared" si="39"/>
        <v>32000</v>
      </c>
      <c r="X191" s="98">
        <f t="shared" si="40"/>
        <v>20000</v>
      </c>
      <c r="Y191" s="104"/>
      <c r="Z191" s="105"/>
    </row>
    <row r="192" spans="1:26" ht="12.75" customHeight="1">
      <c r="A192" s="12"/>
      <c r="B192" s="14"/>
      <c r="C192" s="14"/>
      <c r="D192" s="102"/>
      <c r="E192" s="103" t="s">
        <v>5</v>
      </c>
      <c r="F192" s="102"/>
      <c r="G192" s="98">
        <f t="shared" si="43"/>
        <v>0</v>
      </c>
      <c r="H192" s="45"/>
      <c r="I192" s="45"/>
      <c r="J192" s="98">
        <f t="shared" si="44"/>
        <v>0</v>
      </c>
      <c r="K192" s="54"/>
      <c r="L192" s="54"/>
      <c r="M192" s="98">
        <f t="shared" si="45"/>
        <v>0</v>
      </c>
      <c r="N192" s="45"/>
      <c r="O192" s="45"/>
      <c r="P192" s="98">
        <f t="shared" si="32"/>
        <v>0</v>
      </c>
      <c r="Q192" s="98">
        <f t="shared" si="33"/>
        <v>0</v>
      </c>
      <c r="R192" s="98">
        <f t="shared" si="34"/>
        <v>0</v>
      </c>
      <c r="S192" s="98">
        <f t="shared" si="35"/>
        <v>0</v>
      </c>
      <c r="T192" s="98">
        <f t="shared" si="36"/>
        <v>0</v>
      </c>
      <c r="U192" s="98">
        <f t="shared" si="37"/>
        <v>0</v>
      </c>
      <c r="V192" s="98">
        <f t="shared" si="38"/>
        <v>0</v>
      </c>
      <c r="W192" s="98">
        <f t="shared" si="39"/>
        <v>0</v>
      </c>
      <c r="X192" s="98">
        <f t="shared" si="40"/>
        <v>0</v>
      </c>
      <c r="Y192" s="104"/>
      <c r="Z192" s="105"/>
    </row>
    <row r="193" spans="1:26" s="101" customFormat="1" ht="46.5" customHeight="1">
      <c r="A193" s="5"/>
      <c r="B193" s="6"/>
      <c r="C193" s="6"/>
      <c r="D193" s="82"/>
      <c r="E193" s="106" t="s">
        <v>672</v>
      </c>
      <c r="F193" s="110"/>
      <c r="G193" s="111">
        <f>+G194+G195+G196+G197</f>
        <v>61396.6</v>
      </c>
      <c r="H193" s="111">
        <f>+H194+H195+H196+H197</f>
        <v>36943.7</v>
      </c>
      <c r="I193" s="111">
        <f>+I194+I195+I196+I197</f>
        <v>24452.9</v>
      </c>
      <c r="J193" s="98">
        <f t="shared" si="44"/>
        <v>92584</v>
      </c>
      <c r="K193" s="111">
        <f>+K194+K195+K196+K197</f>
        <v>32584</v>
      </c>
      <c r="L193" s="111">
        <f aca="true" t="shared" si="46" ref="L193:X193">+L194+L195+L196+L197</f>
        <v>60000</v>
      </c>
      <c r="M193" s="111">
        <f t="shared" si="46"/>
        <v>52000</v>
      </c>
      <c r="N193" s="111">
        <f>+N194+N195+N196+N197</f>
        <v>32000</v>
      </c>
      <c r="O193" s="111">
        <f>+O194+O195+O196+O197</f>
        <v>20000</v>
      </c>
      <c r="P193" s="98">
        <f t="shared" si="32"/>
        <v>-40584</v>
      </c>
      <c r="Q193" s="98">
        <f t="shared" si="33"/>
        <v>-584</v>
      </c>
      <c r="R193" s="98">
        <f t="shared" si="34"/>
        <v>-40000</v>
      </c>
      <c r="S193" s="98">
        <f t="shared" si="35"/>
        <v>52000</v>
      </c>
      <c r="T193" s="98">
        <f t="shared" si="36"/>
        <v>32000</v>
      </c>
      <c r="U193" s="98">
        <f t="shared" si="37"/>
        <v>20000</v>
      </c>
      <c r="V193" s="98">
        <f t="shared" si="38"/>
        <v>52000</v>
      </c>
      <c r="W193" s="98">
        <f t="shared" si="39"/>
        <v>32000</v>
      </c>
      <c r="X193" s="98">
        <f t="shared" si="40"/>
        <v>20000</v>
      </c>
      <c r="Y193" s="99"/>
      <c r="Z193" s="100"/>
    </row>
    <row r="194" spans="1:26" s="101" customFormat="1" ht="12.75" customHeight="1">
      <c r="A194" s="5"/>
      <c r="B194" s="6"/>
      <c r="C194" s="6"/>
      <c r="D194" s="82"/>
      <c r="E194" s="13" t="s">
        <v>382</v>
      </c>
      <c r="F194" s="26">
        <v>4111</v>
      </c>
      <c r="G194" s="98"/>
      <c r="H194" s="111"/>
      <c r="I194" s="111"/>
      <c r="J194" s="98">
        <f t="shared" si="44"/>
        <v>2584</v>
      </c>
      <c r="K194" s="111">
        <v>2584</v>
      </c>
      <c r="L194" s="111"/>
      <c r="M194" s="98"/>
      <c r="N194" s="111"/>
      <c r="O194" s="111"/>
      <c r="P194" s="98">
        <f t="shared" si="32"/>
        <v>-2584</v>
      </c>
      <c r="Q194" s="98">
        <f t="shared" si="33"/>
        <v>-2584</v>
      </c>
      <c r="R194" s="98">
        <f t="shared" si="34"/>
        <v>0</v>
      </c>
      <c r="S194" s="98">
        <f t="shared" si="35"/>
        <v>0</v>
      </c>
      <c r="T194" s="98">
        <f t="shared" si="36"/>
        <v>0</v>
      </c>
      <c r="U194" s="98">
        <f t="shared" si="37"/>
        <v>0</v>
      </c>
      <c r="V194" s="98">
        <f t="shared" si="38"/>
        <v>0</v>
      </c>
      <c r="W194" s="98">
        <f t="shared" si="39"/>
        <v>0</v>
      </c>
      <c r="X194" s="98">
        <f t="shared" si="40"/>
        <v>0</v>
      </c>
      <c r="Y194" s="99"/>
      <c r="Z194" s="100"/>
    </row>
    <row r="195" spans="1:26" ht="12.75" customHeight="1">
      <c r="A195" s="12"/>
      <c r="B195" s="14"/>
      <c r="C195" s="14"/>
      <c r="D195" s="102"/>
      <c r="E195" s="13" t="s">
        <v>392</v>
      </c>
      <c r="F195" s="26">
        <v>4213</v>
      </c>
      <c r="G195" s="98">
        <f aca="true" t="shared" si="47" ref="G195:G226">+H195+I195</f>
        <v>36943.7</v>
      </c>
      <c r="H195" s="45">
        <f>13270.9+23672.8</f>
        <v>36943.7</v>
      </c>
      <c r="I195" s="45"/>
      <c r="J195" s="98">
        <f t="shared" si="44"/>
        <v>27000</v>
      </c>
      <c r="K195" s="54">
        <v>27000</v>
      </c>
      <c r="L195" s="54"/>
      <c r="M195" s="98">
        <f t="shared" si="45"/>
        <v>25000</v>
      </c>
      <c r="N195" s="45">
        <v>25000</v>
      </c>
      <c r="O195" s="45"/>
      <c r="P195" s="98">
        <f t="shared" si="32"/>
        <v>-2000</v>
      </c>
      <c r="Q195" s="98">
        <f t="shared" si="33"/>
        <v>-2000</v>
      </c>
      <c r="R195" s="98">
        <f t="shared" si="34"/>
        <v>0</v>
      </c>
      <c r="S195" s="98">
        <f t="shared" si="35"/>
        <v>25000</v>
      </c>
      <c r="T195" s="98">
        <f t="shared" si="36"/>
        <v>25000</v>
      </c>
      <c r="U195" s="98">
        <f t="shared" si="37"/>
        <v>0</v>
      </c>
      <c r="V195" s="98">
        <f t="shared" si="38"/>
        <v>25000</v>
      </c>
      <c r="W195" s="98">
        <f t="shared" si="39"/>
        <v>25000</v>
      </c>
      <c r="X195" s="98">
        <f t="shared" si="40"/>
        <v>0</v>
      </c>
      <c r="Y195" s="104"/>
      <c r="Z195" s="105"/>
    </row>
    <row r="196" spans="1:26" ht="12.75" customHeight="1">
      <c r="A196" s="12"/>
      <c r="B196" s="14"/>
      <c r="C196" s="14"/>
      <c r="D196" s="102"/>
      <c r="E196" s="13" t="s">
        <v>420</v>
      </c>
      <c r="F196" s="26">
        <v>4239</v>
      </c>
      <c r="G196" s="98">
        <f t="shared" si="47"/>
        <v>0</v>
      </c>
      <c r="H196" s="45"/>
      <c r="I196" s="45"/>
      <c r="J196" s="98">
        <f t="shared" si="44"/>
        <v>3000</v>
      </c>
      <c r="K196" s="54">
        <v>3000</v>
      </c>
      <c r="L196" s="54"/>
      <c r="M196" s="98">
        <f t="shared" si="45"/>
        <v>7000</v>
      </c>
      <c r="N196" s="45">
        <v>7000</v>
      </c>
      <c r="O196" s="45"/>
      <c r="P196" s="98">
        <f t="shared" si="32"/>
        <v>4000</v>
      </c>
      <c r="Q196" s="98">
        <f t="shared" si="33"/>
        <v>4000</v>
      </c>
      <c r="R196" s="98">
        <f t="shared" si="34"/>
        <v>0</v>
      </c>
      <c r="S196" s="98">
        <f t="shared" si="35"/>
        <v>7000</v>
      </c>
      <c r="T196" s="98">
        <f t="shared" si="36"/>
        <v>7000</v>
      </c>
      <c r="U196" s="98">
        <f t="shared" si="37"/>
        <v>0</v>
      </c>
      <c r="V196" s="98">
        <f t="shared" si="38"/>
        <v>7000</v>
      </c>
      <c r="W196" s="98">
        <f t="shared" si="39"/>
        <v>7000</v>
      </c>
      <c r="X196" s="98">
        <f t="shared" si="40"/>
        <v>0</v>
      </c>
      <c r="Y196" s="104"/>
      <c r="Z196" s="105"/>
    </row>
    <row r="197" spans="1:26" ht="12.75" customHeight="1">
      <c r="A197" s="12"/>
      <c r="B197" s="14"/>
      <c r="C197" s="14"/>
      <c r="D197" s="102"/>
      <c r="E197" s="13" t="s">
        <v>529</v>
      </c>
      <c r="F197" s="26">
        <v>5122</v>
      </c>
      <c r="G197" s="98">
        <f t="shared" si="47"/>
        <v>24452.9</v>
      </c>
      <c r="H197" s="45"/>
      <c r="I197" s="45">
        <f>22808.9+1644</f>
        <v>24452.9</v>
      </c>
      <c r="J197" s="98">
        <f t="shared" si="44"/>
        <v>60000</v>
      </c>
      <c r="K197" s="54"/>
      <c r="L197" s="54">
        <v>60000</v>
      </c>
      <c r="M197" s="98">
        <f t="shared" si="45"/>
        <v>20000</v>
      </c>
      <c r="N197" s="45"/>
      <c r="O197" s="45">
        <v>20000</v>
      </c>
      <c r="P197" s="98">
        <f t="shared" si="32"/>
        <v>-40000</v>
      </c>
      <c r="Q197" s="98">
        <f t="shared" si="33"/>
        <v>0</v>
      </c>
      <c r="R197" s="98">
        <f t="shared" si="34"/>
        <v>-40000</v>
      </c>
      <c r="S197" s="98">
        <f t="shared" si="35"/>
        <v>20000</v>
      </c>
      <c r="T197" s="98">
        <f t="shared" si="36"/>
        <v>0</v>
      </c>
      <c r="U197" s="98">
        <f t="shared" si="37"/>
        <v>20000</v>
      </c>
      <c r="V197" s="98">
        <f t="shared" si="38"/>
        <v>20000</v>
      </c>
      <c r="W197" s="98">
        <f t="shared" si="39"/>
        <v>0</v>
      </c>
      <c r="X197" s="98">
        <f t="shared" si="40"/>
        <v>20000</v>
      </c>
      <c r="Y197" s="104"/>
      <c r="Z197" s="105"/>
    </row>
    <row r="198" spans="1:26" s="101" customFormat="1" ht="46.5" customHeight="1">
      <c r="A198" s="5" t="s">
        <v>274</v>
      </c>
      <c r="B198" s="6" t="s">
        <v>275</v>
      </c>
      <c r="C198" s="6" t="s">
        <v>194</v>
      </c>
      <c r="D198" s="82" t="s">
        <v>194</v>
      </c>
      <c r="E198" s="106" t="s">
        <v>276</v>
      </c>
      <c r="F198" s="110"/>
      <c r="G198" s="98">
        <f t="shared" si="47"/>
        <v>389572.2</v>
      </c>
      <c r="H198" s="111">
        <f>+H200+H223+H215+H219</f>
        <v>143345</v>
      </c>
      <c r="I198" s="111">
        <f>+I200+I215+I219+I223+I235</f>
        <v>246227.2</v>
      </c>
      <c r="J198" s="98">
        <f t="shared" si="44"/>
        <v>503550</v>
      </c>
      <c r="K198" s="111">
        <f>+K200+K223</f>
        <v>227256</v>
      </c>
      <c r="L198" s="111">
        <f>+L200+L223</f>
        <v>276294</v>
      </c>
      <c r="M198" s="98">
        <f t="shared" si="45"/>
        <v>351148</v>
      </c>
      <c r="N198" s="111">
        <f>+N200+N223+N215+N219</f>
        <v>220000</v>
      </c>
      <c r="O198" s="111">
        <f>+O200+O215+O219+O223+O235</f>
        <v>131148</v>
      </c>
      <c r="P198" s="98">
        <f t="shared" si="32"/>
        <v>-152402</v>
      </c>
      <c r="Q198" s="98">
        <f t="shared" si="33"/>
        <v>-7256</v>
      </c>
      <c r="R198" s="98">
        <f t="shared" si="34"/>
        <v>-145146</v>
      </c>
      <c r="S198" s="98">
        <f t="shared" si="35"/>
        <v>351148</v>
      </c>
      <c r="T198" s="98">
        <f t="shared" si="36"/>
        <v>220000</v>
      </c>
      <c r="U198" s="98">
        <f t="shared" si="37"/>
        <v>131148</v>
      </c>
      <c r="V198" s="98">
        <f t="shared" si="38"/>
        <v>351148</v>
      </c>
      <c r="W198" s="98">
        <f t="shared" si="39"/>
        <v>220000</v>
      </c>
      <c r="X198" s="98">
        <f t="shared" si="40"/>
        <v>131148</v>
      </c>
      <c r="Y198" s="99"/>
      <c r="Z198" s="100"/>
    </row>
    <row r="199" spans="1:26" ht="12.75" customHeight="1">
      <c r="A199" s="12"/>
      <c r="B199" s="14"/>
      <c r="C199" s="14"/>
      <c r="D199" s="102"/>
      <c r="E199" s="103" t="s">
        <v>5</v>
      </c>
      <c r="F199" s="102"/>
      <c r="G199" s="98">
        <f t="shared" si="47"/>
        <v>0</v>
      </c>
      <c r="H199" s="45"/>
      <c r="I199" s="45"/>
      <c r="J199" s="98">
        <f t="shared" si="44"/>
        <v>0</v>
      </c>
      <c r="K199" s="54"/>
      <c r="L199" s="54"/>
      <c r="M199" s="98">
        <f t="shared" si="45"/>
        <v>0</v>
      </c>
      <c r="N199" s="45"/>
      <c r="O199" s="45"/>
      <c r="P199" s="98">
        <f t="shared" si="32"/>
        <v>0</v>
      </c>
      <c r="Q199" s="98">
        <f t="shared" si="33"/>
        <v>0</v>
      </c>
      <c r="R199" s="98">
        <f t="shared" si="34"/>
        <v>0</v>
      </c>
      <c r="S199" s="98">
        <f t="shared" si="35"/>
        <v>0</v>
      </c>
      <c r="T199" s="98">
        <f t="shared" si="36"/>
        <v>0</v>
      </c>
      <c r="U199" s="98">
        <f t="shared" si="37"/>
        <v>0</v>
      </c>
      <c r="V199" s="98">
        <f t="shared" si="38"/>
        <v>0</v>
      </c>
      <c r="W199" s="98">
        <f t="shared" si="39"/>
        <v>0</v>
      </c>
      <c r="X199" s="98">
        <f t="shared" si="40"/>
        <v>0</v>
      </c>
      <c r="Y199" s="104"/>
      <c r="Z199" s="105"/>
    </row>
    <row r="200" spans="1:26" s="101" customFormat="1" ht="46.5" customHeight="1">
      <c r="A200" s="5" t="s">
        <v>277</v>
      </c>
      <c r="B200" s="6" t="s">
        <v>275</v>
      </c>
      <c r="C200" s="6" t="s">
        <v>197</v>
      </c>
      <c r="D200" s="82" t="s">
        <v>194</v>
      </c>
      <c r="E200" s="106" t="s">
        <v>278</v>
      </c>
      <c r="F200" s="110"/>
      <c r="G200" s="98">
        <f t="shared" si="47"/>
        <v>154037.4</v>
      </c>
      <c r="H200" s="111">
        <f>+H202</f>
        <v>97000</v>
      </c>
      <c r="I200" s="111">
        <f>+I202</f>
        <v>57037.4</v>
      </c>
      <c r="J200" s="98">
        <f t="shared" si="44"/>
        <v>339683</v>
      </c>
      <c r="K200" s="111">
        <f>+K202</f>
        <v>180000</v>
      </c>
      <c r="L200" s="111">
        <f>+L202</f>
        <v>159683</v>
      </c>
      <c r="M200" s="98">
        <f t="shared" si="45"/>
        <v>234628</v>
      </c>
      <c r="N200" s="111">
        <f>+N202</f>
        <v>180000</v>
      </c>
      <c r="O200" s="111">
        <f>+O202</f>
        <v>54628</v>
      </c>
      <c r="P200" s="98">
        <f t="shared" si="32"/>
        <v>-105055</v>
      </c>
      <c r="Q200" s="98">
        <f t="shared" si="33"/>
        <v>0</v>
      </c>
      <c r="R200" s="98">
        <f t="shared" si="34"/>
        <v>-105055</v>
      </c>
      <c r="S200" s="98">
        <f t="shared" si="35"/>
        <v>234628</v>
      </c>
      <c r="T200" s="98">
        <f t="shared" si="36"/>
        <v>180000</v>
      </c>
      <c r="U200" s="98">
        <f t="shared" si="37"/>
        <v>54628</v>
      </c>
      <c r="V200" s="98">
        <f t="shared" si="38"/>
        <v>234628</v>
      </c>
      <c r="W200" s="98">
        <f t="shared" si="39"/>
        <v>180000</v>
      </c>
      <c r="X200" s="98">
        <f t="shared" si="40"/>
        <v>54628</v>
      </c>
      <c r="Y200" s="99"/>
      <c r="Z200" s="100"/>
    </row>
    <row r="201" spans="1:26" ht="12.75" customHeight="1">
      <c r="A201" s="12"/>
      <c r="B201" s="14"/>
      <c r="C201" s="14"/>
      <c r="D201" s="102"/>
      <c r="E201" s="103" t="s">
        <v>199</v>
      </c>
      <c r="F201" s="102"/>
      <c r="G201" s="98">
        <f t="shared" si="47"/>
        <v>0</v>
      </c>
      <c r="H201" s="45"/>
      <c r="I201" s="45"/>
      <c r="J201" s="98">
        <f t="shared" si="44"/>
        <v>0</v>
      </c>
      <c r="K201" s="54"/>
      <c r="L201" s="54"/>
      <c r="M201" s="98">
        <f t="shared" si="45"/>
        <v>0</v>
      </c>
      <c r="N201" s="45"/>
      <c r="O201" s="45"/>
      <c r="P201" s="98">
        <f t="shared" si="32"/>
        <v>0</v>
      </c>
      <c r="Q201" s="98">
        <f t="shared" si="33"/>
        <v>0</v>
      </c>
      <c r="R201" s="98">
        <f t="shared" si="34"/>
        <v>0</v>
      </c>
      <c r="S201" s="98">
        <f t="shared" si="35"/>
        <v>0</v>
      </c>
      <c r="T201" s="98">
        <f t="shared" si="36"/>
        <v>0</v>
      </c>
      <c r="U201" s="98">
        <f t="shared" si="37"/>
        <v>0</v>
      </c>
      <c r="V201" s="98">
        <f t="shared" si="38"/>
        <v>0</v>
      </c>
      <c r="W201" s="98">
        <f t="shared" si="39"/>
        <v>0</v>
      </c>
      <c r="X201" s="98">
        <f t="shared" si="40"/>
        <v>0</v>
      </c>
      <c r="Y201" s="104"/>
      <c r="Z201" s="105"/>
    </row>
    <row r="202" spans="1:26" ht="12.75" customHeight="1">
      <c r="A202" s="25" t="s">
        <v>279</v>
      </c>
      <c r="B202" s="26" t="s">
        <v>275</v>
      </c>
      <c r="C202" s="26" t="s">
        <v>197</v>
      </c>
      <c r="D202" s="26" t="s">
        <v>197</v>
      </c>
      <c r="E202" s="103" t="s">
        <v>278</v>
      </c>
      <c r="F202" s="102"/>
      <c r="G202" s="98">
        <f t="shared" si="47"/>
        <v>154037.4</v>
      </c>
      <c r="H202" s="54">
        <f>+H204+H208+H211</f>
        <v>97000</v>
      </c>
      <c r="I202" s="54">
        <f>+I204+I208+I211</f>
        <v>57037.4</v>
      </c>
      <c r="J202" s="98">
        <f t="shared" si="44"/>
        <v>339683</v>
      </c>
      <c r="K202" s="54">
        <f>+K204+K208+K211</f>
        <v>180000</v>
      </c>
      <c r="L202" s="54">
        <f>+L204+L208+L211</f>
        <v>159683</v>
      </c>
      <c r="M202" s="98">
        <f t="shared" si="45"/>
        <v>234628</v>
      </c>
      <c r="N202" s="54">
        <f>+N204+N208+N211</f>
        <v>180000</v>
      </c>
      <c r="O202" s="54">
        <f>+O204+O208+O211</f>
        <v>54628</v>
      </c>
      <c r="P202" s="98">
        <f t="shared" si="32"/>
        <v>-105055</v>
      </c>
      <c r="Q202" s="98">
        <f t="shared" si="33"/>
        <v>0</v>
      </c>
      <c r="R202" s="98">
        <f t="shared" si="34"/>
        <v>-105055</v>
      </c>
      <c r="S202" s="98">
        <f t="shared" si="35"/>
        <v>234628</v>
      </c>
      <c r="T202" s="98">
        <f t="shared" si="36"/>
        <v>180000</v>
      </c>
      <c r="U202" s="98">
        <f t="shared" si="37"/>
        <v>54628</v>
      </c>
      <c r="V202" s="98">
        <f t="shared" si="38"/>
        <v>234628</v>
      </c>
      <c r="W202" s="98">
        <f t="shared" si="39"/>
        <v>180000</v>
      </c>
      <c r="X202" s="98">
        <f t="shared" si="40"/>
        <v>54628</v>
      </c>
      <c r="Y202" s="104"/>
      <c r="Z202" s="105"/>
    </row>
    <row r="203" spans="1:26" ht="12.75" customHeight="1">
      <c r="A203" s="12"/>
      <c r="B203" s="14"/>
      <c r="C203" s="14"/>
      <c r="D203" s="102"/>
      <c r="E203" s="103" t="s">
        <v>5</v>
      </c>
      <c r="F203" s="102"/>
      <c r="G203" s="98">
        <f t="shared" si="47"/>
        <v>0</v>
      </c>
      <c r="H203" s="45"/>
      <c r="I203" s="45"/>
      <c r="J203" s="98">
        <f t="shared" si="44"/>
        <v>0</v>
      </c>
      <c r="K203" s="54"/>
      <c r="L203" s="54"/>
      <c r="M203" s="98">
        <f t="shared" si="45"/>
        <v>0</v>
      </c>
      <c r="N203" s="45"/>
      <c r="O203" s="45"/>
      <c r="P203" s="98">
        <f aca="true" t="shared" si="48" ref="P203:P266">+M203-J203</f>
        <v>0</v>
      </c>
      <c r="Q203" s="98">
        <f aca="true" t="shared" si="49" ref="Q203:Q266">+N203-K203</f>
        <v>0</v>
      </c>
      <c r="R203" s="98">
        <f aca="true" t="shared" si="50" ref="R203:R266">+O203-L203</f>
        <v>0</v>
      </c>
      <c r="S203" s="98">
        <f aca="true" t="shared" si="51" ref="S203:S266">+M203</f>
        <v>0</v>
      </c>
      <c r="T203" s="98">
        <f aca="true" t="shared" si="52" ref="T203:T266">+N203</f>
        <v>0</v>
      </c>
      <c r="U203" s="98">
        <f aca="true" t="shared" si="53" ref="U203:U266">+O203</f>
        <v>0</v>
      </c>
      <c r="V203" s="98">
        <f aca="true" t="shared" si="54" ref="V203:V266">+M203</f>
        <v>0</v>
      </c>
      <c r="W203" s="98">
        <f aca="true" t="shared" si="55" ref="W203:W266">+N203</f>
        <v>0</v>
      </c>
      <c r="X203" s="98">
        <f aca="true" t="shared" si="56" ref="X203:X266">+O203</f>
        <v>0</v>
      </c>
      <c r="Y203" s="104"/>
      <c r="Z203" s="105"/>
    </row>
    <row r="204" spans="1:26" s="101" customFormat="1" ht="46.5" customHeight="1">
      <c r="A204" s="5"/>
      <c r="B204" s="6"/>
      <c r="C204" s="6"/>
      <c r="D204" s="82"/>
      <c r="E204" s="106" t="s">
        <v>645</v>
      </c>
      <c r="F204" s="110"/>
      <c r="G204" s="98">
        <f t="shared" si="47"/>
        <v>153787.4</v>
      </c>
      <c r="H204" s="111">
        <f>+H205+H206+H207</f>
        <v>97000</v>
      </c>
      <c r="I204" s="111">
        <f>+I205+I206+I207</f>
        <v>56787.4</v>
      </c>
      <c r="J204" s="98">
        <f t="shared" si="44"/>
        <v>203132</v>
      </c>
      <c r="K204" s="111">
        <f>+K205+K206+K207</f>
        <v>180000</v>
      </c>
      <c r="L204" s="111">
        <f>+L205+L206+L207</f>
        <v>23132</v>
      </c>
      <c r="M204" s="98">
        <f t="shared" si="45"/>
        <v>209628</v>
      </c>
      <c r="N204" s="111">
        <f>+N205+N206+N207</f>
        <v>180000</v>
      </c>
      <c r="O204" s="111">
        <f>+O205+O206+O207</f>
        <v>29628</v>
      </c>
      <c r="P204" s="98">
        <f t="shared" si="48"/>
        <v>6496</v>
      </c>
      <c r="Q204" s="98">
        <f t="shared" si="49"/>
        <v>0</v>
      </c>
      <c r="R204" s="98">
        <f t="shared" si="50"/>
        <v>6496</v>
      </c>
      <c r="S204" s="98">
        <f t="shared" si="51"/>
        <v>209628</v>
      </c>
      <c r="T204" s="98">
        <f t="shared" si="52"/>
        <v>180000</v>
      </c>
      <c r="U204" s="98">
        <f t="shared" si="53"/>
        <v>29628</v>
      </c>
      <c r="V204" s="98">
        <f t="shared" si="54"/>
        <v>209628</v>
      </c>
      <c r="W204" s="98">
        <f t="shared" si="55"/>
        <v>180000</v>
      </c>
      <c r="X204" s="98">
        <f t="shared" si="56"/>
        <v>29628</v>
      </c>
      <c r="Y204" s="99"/>
      <c r="Z204" s="100"/>
    </row>
    <row r="205" spans="1:26" ht="12.75" customHeight="1">
      <c r="A205" s="12"/>
      <c r="B205" s="14"/>
      <c r="C205" s="14"/>
      <c r="D205" s="102"/>
      <c r="E205" s="103" t="s">
        <v>455</v>
      </c>
      <c r="F205" s="26">
        <v>4511</v>
      </c>
      <c r="G205" s="98">
        <f t="shared" si="47"/>
        <v>97000</v>
      </c>
      <c r="H205" s="45">
        <v>97000</v>
      </c>
      <c r="I205" s="45"/>
      <c r="J205" s="98">
        <f t="shared" si="44"/>
        <v>180000</v>
      </c>
      <c r="K205" s="54">
        <v>180000</v>
      </c>
      <c r="L205" s="54"/>
      <c r="M205" s="98">
        <f t="shared" si="45"/>
        <v>180000</v>
      </c>
      <c r="N205" s="45">
        <v>180000</v>
      </c>
      <c r="O205" s="45"/>
      <c r="P205" s="98">
        <f t="shared" si="48"/>
        <v>0</v>
      </c>
      <c r="Q205" s="98">
        <f t="shared" si="49"/>
        <v>0</v>
      </c>
      <c r="R205" s="98">
        <f t="shared" si="50"/>
        <v>0</v>
      </c>
      <c r="S205" s="98">
        <f t="shared" si="51"/>
        <v>180000</v>
      </c>
      <c r="T205" s="98">
        <f t="shared" si="52"/>
        <v>180000</v>
      </c>
      <c r="U205" s="98">
        <f t="shared" si="53"/>
        <v>0</v>
      </c>
      <c r="V205" s="98">
        <f t="shared" si="54"/>
        <v>180000</v>
      </c>
      <c r="W205" s="98">
        <f t="shared" si="55"/>
        <v>180000</v>
      </c>
      <c r="X205" s="98">
        <f t="shared" si="56"/>
        <v>0</v>
      </c>
      <c r="Y205" s="104"/>
      <c r="Z205" s="105"/>
    </row>
    <row r="206" spans="1:26" ht="12.75" customHeight="1">
      <c r="A206" s="12"/>
      <c r="B206" s="14"/>
      <c r="C206" s="14"/>
      <c r="D206" s="102"/>
      <c r="E206" s="103" t="s">
        <v>523</v>
      </c>
      <c r="F206" s="26">
        <v>5113</v>
      </c>
      <c r="G206" s="98">
        <f t="shared" si="47"/>
        <v>55079.4</v>
      </c>
      <c r="H206" s="45"/>
      <c r="I206" s="45">
        <v>55079.4</v>
      </c>
      <c r="J206" s="98">
        <f t="shared" si="44"/>
        <v>22552</v>
      </c>
      <c r="K206" s="54"/>
      <c r="L206" s="54">
        <v>22552</v>
      </c>
      <c r="M206" s="98">
        <f t="shared" si="45"/>
        <v>28000</v>
      </c>
      <c r="N206" s="45"/>
      <c r="O206" s="45">
        <v>28000</v>
      </c>
      <c r="P206" s="98">
        <f t="shared" si="48"/>
        <v>5448</v>
      </c>
      <c r="Q206" s="98">
        <f t="shared" si="49"/>
        <v>0</v>
      </c>
      <c r="R206" s="98">
        <f t="shared" si="50"/>
        <v>5448</v>
      </c>
      <c r="S206" s="98">
        <f t="shared" si="51"/>
        <v>28000</v>
      </c>
      <c r="T206" s="98">
        <f t="shared" si="52"/>
        <v>0</v>
      </c>
      <c r="U206" s="98">
        <f t="shared" si="53"/>
        <v>28000</v>
      </c>
      <c r="V206" s="98">
        <f t="shared" si="54"/>
        <v>28000</v>
      </c>
      <c r="W206" s="98">
        <f t="shared" si="55"/>
        <v>0</v>
      </c>
      <c r="X206" s="98">
        <f t="shared" si="56"/>
        <v>28000</v>
      </c>
      <c r="Y206" s="104"/>
      <c r="Z206" s="105"/>
    </row>
    <row r="207" spans="1:26" ht="12.75" customHeight="1">
      <c r="A207" s="12"/>
      <c r="B207" s="14"/>
      <c r="C207" s="14"/>
      <c r="D207" s="102"/>
      <c r="E207" s="103" t="s">
        <v>538</v>
      </c>
      <c r="F207" s="26">
        <v>5134</v>
      </c>
      <c r="G207" s="98">
        <f t="shared" si="47"/>
        <v>1708</v>
      </c>
      <c r="H207" s="45"/>
      <c r="I207" s="45">
        <v>1708</v>
      </c>
      <c r="J207" s="98">
        <f t="shared" si="44"/>
        <v>580</v>
      </c>
      <c r="K207" s="54"/>
      <c r="L207" s="54">
        <v>580</v>
      </c>
      <c r="M207" s="98">
        <f t="shared" si="45"/>
        <v>1628</v>
      </c>
      <c r="N207" s="45"/>
      <c r="O207" s="45">
        <v>1628</v>
      </c>
      <c r="P207" s="98">
        <f t="shared" si="48"/>
        <v>1048</v>
      </c>
      <c r="Q207" s="98">
        <f t="shared" si="49"/>
        <v>0</v>
      </c>
      <c r="R207" s="98">
        <f t="shared" si="50"/>
        <v>1048</v>
      </c>
      <c r="S207" s="98">
        <f t="shared" si="51"/>
        <v>1628</v>
      </c>
      <c r="T207" s="98">
        <f t="shared" si="52"/>
        <v>0</v>
      </c>
      <c r="U207" s="98">
        <f t="shared" si="53"/>
        <v>1628</v>
      </c>
      <c r="V207" s="98">
        <f t="shared" si="54"/>
        <v>1628</v>
      </c>
      <c r="W207" s="98">
        <f t="shared" si="55"/>
        <v>0</v>
      </c>
      <c r="X207" s="98">
        <f t="shared" si="56"/>
        <v>1628</v>
      </c>
      <c r="Y207" s="104"/>
      <c r="Z207" s="105"/>
    </row>
    <row r="208" spans="1:26" ht="12.75" customHeight="1">
      <c r="A208" s="12"/>
      <c r="B208" s="14"/>
      <c r="C208" s="14"/>
      <c r="D208" s="102"/>
      <c r="E208" s="106" t="s">
        <v>679</v>
      </c>
      <c r="F208" s="26"/>
      <c r="G208" s="98">
        <f t="shared" si="47"/>
        <v>0</v>
      </c>
      <c r="H208" s="54">
        <f>+H209+H210</f>
        <v>0</v>
      </c>
      <c r="I208" s="54">
        <f>+I209+I210</f>
        <v>0</v>
      </c>
      <c r="J208" s="98">
        <f t="shared" si="44"/>
        <v>97570</v>
      </c>
      <c r="K208" s="54">
        <f>+K209+K210</f>
        <v>0</v>
      </c>
      <c r="L208" s="54">
        <f>+L209+L210</f>
        <v>97570</v>
      </c>
      <c r="M208" s="98">
        <f t="shared" si="45"/>
        <v>5000</v>
      </c>
      <c r="N208" s="54">
        <f>+N209+N210</f>
        <v>0</v>
      </c>
      <c r="O208" s="54">
        <f>+O209+O210</f>
        <v>5000</v>
      </c>
      <c r="P208" s="98">
        <f t="shared" si="48"/>
        <v>-92570</v>
      </c>
      <c r="Q208" s="98">
        <f t="shared" si="49"/>
        <v>0</v>
      </c>
      <c r="R208" s="98">
        <f t="shared" si="50"/>
        <v>-92570</v>
      </c>
      <c r="S208" s="98">
        <f t="shared" si="51"/>
        <v>5000</v>
      </c>
      <c r="T208" s="98">
        <f t="shared" si="52"/>
        <v>0</v>
      </c>
      <c r="U208" s="98">
        <f t="shared" si="53"/>
        <v>5000</v>
      </c>
      <c r="V208" s="98">
        <f t="shared" si="54"/>
        <v>5000</v>
      </c>
      <c r="W208" s="98">
        <f t="shared" si="55"/>
        <v>0</v>
      </c>
      <c r="X208" s="98">
        <f t="shared" si="56"/>
        <v>5000</v>
      </c>
      <c r="Y208" s="104"/>
      <c r="Z208" s="105"/>
    </row>
    <row r="209" spans="1:26" ht="12.75" customHeight="1">
      <c r="A209" s="12"/>
      <c r="B209" s="14"/>
      <c r="C209" s="14"/>
      <c r="D209" s="102"/>
      <c r="E209" s="103" t="s">
        <v>523</v>
      </c>
      <c r="F209" s="26">
        <v>5113</v>
      </c>
      <c r="G209" s="98">
        <f t="shared" si="47"/>
        <v>0</v>
      </c>
      <c r="H209" s="45"/>
      <c r="I209" s="45"/>
      <c r="J209" s="98">
        <f t="shared" si="44"/>
        <v>93440</v>
      </c>
      <c r="K209" s="54"/>
      <c r="L209" s="54">
        <v>93440</v>
      </c>
      <c r="M209" s="98">
        <f t="shared" si="45"/>
        <v>5000</v>
      </c>
      <c r="N209" s="45"/>
      <c r="O209" s="45">
        <v>5000</v>
      </c>
      <c r="P209" s="98">
        <f t="shared" si="48"/>
        <v>-88440</v>
      </c>
      <c r="Q209" s="98">
        <f t="shared" si="49"/>
        <v>0</v>
      </c>
      <c r="R209" s="98">
        <f t="shared" si="50"/>
        <v>-88440</v>
      </c>
      <c r="S209" s="98">
        <f t="shared" si="51"/>
        <v>5000</v>
      </c>
      <c r="T209" s="98">
        <f t="shared" si="52"/>
        <v>0</v>
      </c>
      <c r="U209" s="98">
        <f t="shared" si="53"/>
        <v>5000</v>
      </c>
      <c r="V209" s="98">
        <f t="shared" si="54"/>
        <v>5000</v>
      </c>
      <c r="W209" s="98">
        <f t="shared" si="55"/>
        <v>0</v>
      </c>
      <c r="X209" s="98">
        <f t="shared" si="56"/>
        <v>5000</v>
      </c>
      <c r="Y209" s="104"/>
      <c r="Z209" s="105"/>
    </row>
    <row r="210" spans="1:26" ht="12.75" customHeight="1">
      <c r="A210" s="12"/>
      <c r="B210" s="14"/>
      <c r="C210" s="14"/>
      <c r="D210" s="102"/>
      <c r="E210" s="103" t="s">
        <v>538</v>
      </c>
      <c r="F210" s="26">
        <v>5134</v>
      </c>
      <c r="G210" s="98">
        <f t="shared" si="47"/>
        <v>0</v>
      </c>
      <c r="H210" s="45"/>
      <c r="I210" s="45"/>
      <c r="J210" s="98">
        <f t="shared" si="44"/>
        <v>4130</v>
      </c>
      <c r="K210" s="54"/>
      <c r="L210" s="54">
        <v>4130</v>
      </c>
      <c r="M210" s="98">
        <f t="shared" si="45"/>
        <v>0</v>
      </c>
      <c r="N210" s="45"/>
      <c r="O210" s="45"/>
      <c r="P210" s="98">
        <f t="shared" si="48"/>
        <v>-4130</v>
      </c>
      <c r="Q210" s="98">
        <f t="shared" si="49"/>
        <v>0</v>
      </c>
      <c r="R210" s="98">
        <f t="shared" si="50"/>
        <v>-4130</v>
      </c>
      <c r="S210" s="98">
        <f t="shared" si="51"/>
        <v>0</v>
      </c>
      <c r="T210" s="98">
        <f t="shared" si="52"/>
        <v>0</v>
      </c>
      <c r="U210" s="98">
        <f t="shared" si="53"/>
        <v>0</v>
      </c>
      <c r="V210" s="98">
        <f t="shared" si="54"/>
        <v>0</v>
      </c>
      <c r="W210" s="98">
        <f t="shared" si="55"/>
        <v>0</v>
      </c>
      <c r="X210" s="98">
        <f t="shared" si="56"/>
        <v>0</v>
      </c>
      <c r="Y210" s="104"/>
      <c r="Z210" s="105"/>
    </row>
    <row r="211" spans="1:26" ht="12.75" customHeight="1">
      <c r="A211" s="12"/>
      <c r="B211" s="14"/>
      <c r="C211" s="14"/>
      <c r="D211" s="102"/>
      <c r="E211" s="106" t="s">
        <v>680</v>
      </c>
      <c r="F211" s="26"/>
      <c r="G211" s="98">
        <f t="shared" si="47"/>
        <v>250</v>
      </c>
      <c r="H211" s="54">
        <f>+H212+H213+H214</f>
        <v>0</v>
      </c>
      <c r="I211" s="54">
        <f>+I212+I213+I214</f>
        <v>250</v>
      </c>
      <c r="J211" s="98">
        <f t="shared" si="44"/>
        <v>38981</v>
      </c>
      <c r="K211" s="54">
        <f>+K212+K213+K214</f>
        <v>0</v>
      </c>
      <c r="L211" s="54">
        <f>+L212+L213+L214</f>
        <v>38981</v>
      </c>
      <c r="M211" s="98">
        <f t="shared" si="45"/>
        <v>20000</v>
      </c>
      <c r="N211" s="54">
        <f>+N212+N213+N214</f>
        <v>0</v>
      </c>
      <c r="O211" s="54">
        <f>+O212+O213+O214</f>
        <v>20000</v>
      </c>
      <c r="P211" s="98">
        <f t="shared" si="48"/>
        <v>-18981</v>
      </c>
      <c r="Q211" s="98">
        <f t="shared" si="49"/>
        <v>0</v>
      </c>
      <c r="R211" s="98">
        <f t="shared" si="50"/>
        <v>-18981</v>
      </c>
      <c r="S211" s="98">
        <f t="shared" si="51"/>
        <v>20000</v>
      </c>
      <c r="T211" s="98">
        <f t="shared" si="52"/>
        <v>0</v>
      </c>
      <c r="U211" s="98">
        <f t="shared" si="53"/>
        <v>20000</v>
      </c>
      <c r="V211" s="98">
        <f t="shared" si="54"/>
        <v>20000</v>
      </c>
      <c r="W211" s="98">
        <f t="shared" si="55"/>
        <v>0</v>
      </c>
      <c r="X211" s="98">
        <f t="shared" si="56"/>
        <v>20000</v>
      </c>
      <c r="Y211" s="104"/>
      <c r="Z211" s="105"/>
    </row>
    <row r="212" spans="1:26" ht="12.75" customHeight="1">
      <c r="A212" s="12"/>
      <c r="B212" s="14"/>
      <c r="C212" s="14"/>
      <c r="D212" s="102"/>
      <c r="E212" s="103" t="s">
        <v>523</v>
      </c>
      <c r="F212" s="26">
        <v>5113</v>
      </c>
      <c r="G212" s="98">
        <f t="shared" si="47"/>
        <v>0</v>
      </c>
      <c r="H212" s="45"/>
      <c r="I212" s="45"/>
      <c r="J212" s="98">
        <f t="shared" si="44"/>
        <v>18500</v>
      </c>
      <c r="K212" s="54"/>
      <c r="L212" s="54">
        <v>18500</v>
      </c>
      <c r="M212" s="98">
        <f t="shared" si="45"/>
        <v>0</v>
      </c>
      <c r="N212" s="45"/>
      <c r="O212" s="45"/>
      <c r="P212" s="98">
        <f t="shared" si="48"/>
        <v>-18500</v>
      </c>
      <c r="Q212" s="98">
        <f t="shared" si="49"/>
        <v>0</v>
      </c>
      <c r="R212" s="98">
        <f t="shared" si="50"/>
        <v>-18500</v>
      </c>
      <c r="S212" s="98">
        <f t="shared" si="51"/>
        <v>0</v>
      </c>
      <c r="T212" s="98">
        <f t="shared" si="52"/>
        <v>0</v>
      </c>
      <c r="U212" s="98">
        <f t="shared" si="53"/>
        <v>0</v>
      </c>
      <c r="V212" s="98">
        <f t="shared" si="54"/>
        <v>0</v>
      </c>
      <c r="W212" s="98">
        <f t="shared" si="55"/>
        <v>0</v>
      </c>
      <c r="X212" s="98">
        <f t="shared" si="56"/>
        <v>0</v>
      </c>
      <c r="Y212" s="104"/>
      <c r="Z212" s="105"/>
    </row>
    <row r="213" spans="1:26" ht="12.75" customHeight="1">
      <c r="A213" s="12"/>
      <c r="B213" s="14"/>
      <c r="C213" s="14"/>
      <c r="D213" s="102"/>
      <c r="E213" s="103" t="s">
        <v>529</v>
      </c>
      <c r="F213" s="26">
        <v>5122</v>
      </c>
      <c r="G213" s="98">
        <f t="shared" si="47"/>
        <v>0</v>
      </c>
      <c r="H213" s="45"/>
      <c r="I213" s="45"/>
      <c r="J213" s="98">
        <f t="shared" si="44"/>
        <v>20000</v>
      </c>
      <c r="K213" s="54"/>
      <c r="L213" s="54">
        <v>20000</v>
      </c>
      <c r="M213" s="98">
        <f t="shared" si="45"/>
        <v>20000</v>
      </c>
      <c r="N213" s="45"/>
      <c r="O213" s="45">
        <v>20000</v>
      </c>
      <c r="P213" s="98">
        <f t="shared" si="48"/>
        <v>0</v>
      </c>
      <c r="Q213" s="98">
        <f t="shared" si="49"/>
        <v>0</v>
      </c>
      <c r="R213" s="98">
        <f t="shared" si="50"/>
        <v>0</v>
      </c>
      <c r="S213" s="98">
        <f t="shared" si="51"/>
        <v>20000</v>
      </c>
      <c r="T213" s="98">
        <f t="shared" si="52"/>
        <v>0</v>
      </c>
      <c r="U213" s="98">
        <f t="shared" si="53"/>
        <v>20000</v>
      </c>
      <c r="V213" s="98">
        <f t="shared" si="54"/>
        <v>20000</v>
      </c>
      <c r="W213" s="98">
        <f t="shared" si="55"/>
        <v>0</v>
      </c>
      <c r="X213" s="98">
        <f t="shared" si="56"/>
        <v>20000</v>
      </c>
      <c r="Y213" s="104"/>
      <c r="Z213" s="105"/>
    </row>
    <row r="214" spans="1:26" ht="12.75" customHeight="1">
      <c r="A214" s="12"/>
      <c r="B214" s="14"/>
      <c r="C214" s="14"/>
      <c r="D214" s="102"/>
      <c r="E214" s="103" t="s">
        <v>538</v>
      </c>
      <c r="F214" s="26">
        <v>5134</v>
      </c>
      <c r="G214" s="98">
        <f t="shared" si="47"/>
        <v>250</v>
      </c>
      <c r="H214" s="45"/>
      <c r="I214" s="45">
        <v>250</v>
      </c>
      <c r="J214" s="98">
        <f t="shared" si="44"/>
        <v>481</v>
      </c>
      <c r="K214" s="54"/>
      <c r="L214" s="54">
        <v>481</v>
      </c>
      <c r="M214" s="98">
        <f t="shared" si="45"/>
        <v>0</v>
      </c>
      <c r="N214" s="45"/>
      <c r="O214" s="45"/>
      <c r="P214" s="98">
        <f t="shared" si="48"/>
        <v>-481</v>
      </c>
      <c r="Q214" s="98">
        <f t="shared" si="49"/>
        <v>0</v>
      </c>
      <c r="R214" s="98">
        <f t="shared" si="50"/>
        <v>-481</v>
      </c>
      <c r="S214" s="98">
        <f t="shared" si="51"/>
        <v>0</v>
      </c>
      <c r="T214" s="98">
        <f t="shared" si="52"/>
        <v>0</v>
      </c>
      <c r="U214" s="98">
        <f t="shared" si="53"/>
        <v>0</v>
      </c>
      <c r="V214" s="98">
        <f t="shared" si="54"/>
        <v>0</v>
      </c>
      <c r="W214" s="98">
        <f t="shared" si="55"/>
        <v>0</v>
      </c>
      <c r="X214" s="98">
        <f t="shared" si="56"/>
        <v>0</v>
      </c>
      <c r="Y214" s="104"/>
      <c r="Z214" s="105"/>
    </row>
    <row r="215" spans="1:26" ht="12.75" customHeight="1">
      <c r="A215" s="25">
        <v>2620</v>
      </c>
      <c r="B215" s="26">
        <v>6</v>
      </c>
      <c r="C215" s="26">
        <v>2</v>
      </c>
      <c r="D215" s="26">
        <v>0</v>
      </c>
      <c r="E215" s="28" t="s">
        <v>710</v>
      </c>
      <c r="F215" s="26"/>
      <c r="G215" s="98">
        <f t="shared" si="47"/>
        <v>2681.4</v>
      </c>
      <c r="H215" s="45">
        <f>+H216</f>
        <v>200</v>
      </c>
      <c r="I215" s="45">
        <f>+I216</f>
        <v>2481.4</v>
      </c>
      <c r="J215" s="98"/>
      <c r="K215" s="54"/>
      <c r="L215" s="54"/>
      <c r="M215" s="98"/>
      <c r="N215" s="45">
        <f>+N216</f>
        <v>0</v>
      </c>
      <c r="O215" s="45">
        <f>+O216</f>
        <v>0</v>
      </c>
      <c r="P215" s="98">
        <f t="shared" si="48"/>
        <v>0</v>
      </c>
      <c r="Q215" s="98">
        <f t="shared" si="49"/>
        <v>0</v>
      </c>
      <c r="R215" s="98">
        <f t="shared" si="50"/>
        <v>0</v>
      </c>
      <c r="S215" s="98">
        <f t="shared" si="51"/>
        <v>0</v>
      </c>
      <c r="T215" s="98">
        <f t="shared" si="52"/>
        <v>0</v>
      </c>
      <c r="U215" s="98">
        <f t="shared" si="53"/>
        <v>0</v>
      </c>
      <c r="V215" s="98">
        <f t="shared" si="54"/>
        <v>0</v>
      </c>
      <c r="W215" s="98">
        <f t="shared" si="55"/>
        <v>0</v>
      </c>
      <c r="X215" s="98">
        <f t="shared" si="56"/>
        <v>0</v>
      </c>
      <c r="Y215" s="104"/>
      <c r="Z215" s="105"/>
    </row>
    <row r="216" spans="1:26" ht="12.75" customHeight="1">
      <c r="A216" s="25">
        <v>2621</v>
      </c>
      <c r="B216" s="26">
        <v>6</v>
      </c>
      <c r="C216" s="26">
        <v>2</v>
      </c>
      <c r="D216" s="26">
        <v>1</v>
      </c>
      <c r="E216" s="13" t="s">
        <v>711</v>
      </c>
      <c r="F216" s="26"/>
      <c r="G216" s="98">
        <f t="shared" si="47"/>
        <v>2681.4</v>
      </c>
      <c r="H216" s="45">
        <f>+H217</f>
        <v>200</v>
      </c>
      <c r="I216" s="45">
        <f>+I217+I218</f>
        <v>2481.4</v>
      </c>
      <c r="J216" s="98"/>
      <c r="K216" s="54"/>
      <c r="L216" s="54"/>
      <c r="M216" s="98"/>
      <c r="N216" s="45">
        <f>+N217</f>
        <v>0</v>
      </c>
      <c r="O216" s="45">
        <f>+O217+O218</f>
        <v>0</v>
      </c>
      <c r="P216" s="98">
        <f t="shared" si="48"/>
        <v>0</v>
      </c>
      <c r="Q216" s="98">
        <f t="shared" si="49"/>
        <v>0</v>
      </c>
      <c r="R216" s="98">
        <f t="shared" si="50"/>
        <v>0</v>
      </c>
      <c r="S216" s="98">
        <f t="shared" si="51"/>
        <v>0</v>
      </c>
      <c r="T216" s="98">
        <f t="shared" si="52"/>
        <v>0</v>
      </c>
      <c r="U216" s="98">
        <f t="shared" si="53"/>
        <v>0</v>
      </c>
      <c r="V216" s="98">
        <f t="shared" si="54"/>
        <v>0</v>
      </c>
      <c r="W216" s="98">
        <f t="shared" si="55"/>
        <v>0</v>
      </c>
      <c r="X216" s="98">
        <f t="shared" si="56"/>
        <v>0</v>
      </c>
      <c r="Y216" s="104"/>
      <c r="Z216" s="105"/>
    </row>
    <row r="217" spans="1:26" ht="12.75" customHeight="1">
      <c r="A217" s="12"/>
      <c r="B217" s="14"/>
      <c r="C217" s="14"/>
      <c r="D217" s="102"/>
      <c r="E217" s="103" t="s">
        <v>420</v>
      </c>
      <c r="F217" s="26">
        <v>4239</v>
      </c>
      <c r="G217" s="98">
        <f t="shared" si="47"/>
        <v>200</v>
      </c>
      <c r="H217" s="45">
        <v>200</v>
      </c>
      <c r="I217" s="45"/>
      <c r="J217" s="98"/>
      <c r="K217" s="54"/>
      <c r="L217" s="54"/>
      <c r="M217" s="98"/>
      <c r="N217" s="45"/>
      <c r="O217" s="45"/>
      <c r="P217" s="98">
        <f t="shared" si="48"/>
        <v>0</v>
      </c>
      <c r="Q217" s="98">
        <f t="shared" si="49"/>
        <v>0</v>
      </c>
      <c r="R217" s="98">
        <f t="shared" si="50"/>
        <v>0</v>
      </c>
      <c r="S217" s="98">
        <f t="shared" si="51"/>
        <v>0</v>
      </c>
      <c r="T217" s="98">
        <f t="shared" si="52"/>
        <v>0</v>
      </c>
      <c r="U217" s="98">
        <f t="shared" si="53"/>
        <v>0</v>
      </c>
      <c r="V217" s="98">
        <f t="shared" si="54"/>
        <v>0</v>
      </c>
      <c r="W217" s="98">
        <f t="shared" si="55"/>
        <v>0</v>
      </c>
      <c r="X217" s="98">
        <f t="shared" si="56"/>
        <v>0</v>
      </c>
      <c r="Y217" s="104"/>
      <c r="Z217" s="105"/>
    </row>
    <row r="218" spans="1:26" ht="12.75" customHeight="1">
      <c r="A218" s="12"/>
      <c r="B218" s="14"/>
      <c r="C218" s="14"/>
      <c r="D218" s="102"/>
      <c r="E218" s="103" t="s">
        <v>523</v>
      </c>
      <c r="F218" s="26" t="s">
        <v>522</v>
      </c>
      <c r="G218" s="98">
        <f t="shared" si="47"/>
        <v>2481.4</v>
      </c>
      <c r="H218" s="45"/>
      <c r="I218" s="45">
        <v>2481.4</v>
      </c>
      <c r="J218" s="98"/>
      <c r="K218" s="54"/>
      <c r="L218" s="54"/>
      <c r="M218" s="98"/>
      <c r="N218" s="45"/>
      <c r="O218" s="45"/>
      <c r="P218" s="98">
        <f t="shared" si="48"/>
        <v>0</v>
      </c>
      <c r="Q218" s="98">
        <f t="shared" si="49"/>
        <v>0</v>
      </c>
      <c r="R218" s="98">
        <f t="shared" si="50"/>
        <v>0</v>
      </c>
      <c r="S218" s="98">
        <f t="shared" si="51"/>
        <v>0</v>
      </c>
      <c r="T218" s="98">
        <f t="shared" si="52"/>
        <v>0</v>
      </c>
      <c r="U218" s="98">
        <f t="shared" si="53"/>
        <v>0</v>
      </c>
      <c r="V218" s="98">
        <f t="shared" si="54"/>
        <v>0</v>
      </c>
      <c r="W218" s="98">
        <f t="shared" si="55"/>
        <v>0</v>
      </c>
      <c r="X218" s="98">
        <f t="shared" si="56"/>
        <v>0</v>
      </c>
      <c r="Y218" s="104"/>
      <c r="Z218" s="105"/>
    </row>
    <row r="219" spans="1:26" ht="12.75" customHeight="1">
      <c r="A219" s="25">
        <v>2630</v>
      </c>
      <c r="B219" s="26">
        <v>6</v>
      </c>
      <c r="C219" s="26">
        <v>3</v>
      </c>
      <c r="D219" s="26">
        <v>0</v>
      </c>
      <c r="E219" s="28" t="s">
        <v>712</v>
      </c>
      <c r="F219" s="26"/>
      <c r="G219" s="98">
        <f t="shared" si="47"/>
        <v>44585.4</v>
      </c>
      <c r="H219" s="45">
        <f>+H220</f>
        <v>7083</v>
      </c>
      <c r="I219" s="45">
        <f>+I220</f>
        <v>37502.4</v>
      </c>
      <c r="J219" s="98"/>
      <c r="K219" s="54"/>
      <c r="L219" s="54"/>
      <c r="M219" s="98"/>
      <c r="N219" s="45">
        <f>+N220</f>
        <v>0</v>
      </c>
      <c r="O219" s="45">
        <f>+O220</f>
        <v>0</v>
      </c>
      <c r="P219" s="98">
        <f t="shared" si="48"/>
        <v>0</v>
      </c>
      <c r="Q219" s="98">
        <f t="shared" si="49"/>
        <v>0</v>
      </c>
      <c r="R219" s="98">
        <f t="shared" si="50"/>
        <v>0</v>
      </c>
      <c r="S219" s="98">
        <f t="shared" si="51"/>
        <v>0</v>
      </c>
      <c r="T219" s="98">
        <f t="shared" si="52"/>
        <v>0</v>
      </c>
      <c r="U219" s="98">
        <f t="shared" si="53"/>
        <v>0</v>
      </c>
      <c r="V219" s="98">
        <f t="shared" si="54"/>
        <v>0</v>
      </c>
      <c r="W219" s="98">
        <f t="shared" si="55"/>
        <v>0</v>
      </c>
      <c r="X219" s="98">
        <f t="shared" si="56"/>
        <v>0</v>
      </c>
      <c r="Y219" s="104"/>
      <c r="Z219" s="105"/>
    </row>
    <row r="220" spans="1:26" ht="12.75" customHeight="1">
      <c r="A220" s="25">
        <v>2631</v>
      </c>
      <c r="B220" s="26">
        <v>6</v>
      </c>
      <c r="C220" s="26">
        <v>3</v>
      </c>
      <c r="D220" s="26">
        <v>1</v>
      </c>
      <c r="E220" s="13" t="s">
        <v>713</v>
      </c>
      <c r="F220" s="26"/>
      <c r="G220" s="98">
        <f t="shared" si="47"/>
        <v>44585.4</v>
      </c>
      <c r="H220" s="45">
        <f>+H221+H222</f>
        <v>7083</v>
      </c>
      <c r="I220" s="45">
        <f>+I221+I222</f>
        <v>37502.4</v>
      </c>
      <c r="J220" s="98"/>
      <c r="K220" s="54"/>
      <c r="L220" s="54"/>
      <c r="M220" s="98"/>
      <c r="N220" s="45">
        <f>+N221+N222</f>
        <v>0</v>
      </c>
      <c r="O220" s="45">
        <f>+O221+O222</f>
        <v>0</v>
      </c>
      <c r="P220" s="98">
        <f t="shared" si="48"/>
        <v>0</v>
      </c>
      <c r="Q220" s="98">
        <f t="shared" si="49"/>
        <v>0</v>
      </c>
      <c r="R220" s="98">
        <f t="shared" si="50"/>
        <v>0</v>
      </c>
      <c r="S220" s="98">
        <f t="shared" si="51"/>
        <v>0</v>
      </c>
      <c r="T220" s="98">
        <f t="shared" si="52"/>
        <v>0</v>
      </c>
      <c r="U220" s="98">
        <f t="shared" si="53"/>
        <v>0</v>
      </c>
      <c r="V220" s="98">
        <f t="shared" si="54"/>
        <v>0</v>
      </c>
      <c r="W220" s="98">
        <f t="shared" si="55"/>
        <v>0</v>
      </c>
      <c r="X220" s="98">
        <f t="shared" si="56"/>
        <v>0</v>
      </c>
      <c r="Y220" s="104"/>
      <c r="Z220" s="105"/>
    </row>
    <row r="221" spans="1:26" ht="12.75" customHeight="1">
      <c r="A221" s="25"/>
      <c r="B221" s="26"/>
      <c r="C221" s="26"/>
      <c r="D221" s="26"/>
      <c r="E221" s="103" t="s">
        <v>420</v>
      </c>
      <c r="F221" s="26">
        <v>4239</v>
      </c>
      <c r="G221" s="98">
        <f t="shared" si="47"/>
        <v>7083</v>
      </c>
      <c r="H221" s="45">
        <v>7083</v>
      </c>
      <c r="I221" s="45"/>
      <c r="J221" s="98"/>
      <c r="K221" s="54"/>
      <c r="L221" s="54"/>
      <c r="M221" s="98"/>
      <c r="N221" s="45"/>
      <c r="O221" s="45"/>
      <c r="P221" s="98">
        <f t="shared" si="48"/>
        <v>0</v>
      </c>
      <c r="Q221" s="98">
        <f t="shared" si="49"/>
        <v>0</v>
      </c>
      <c r="R221" s="98">
        <f t="shared" si="50"/>
        <v>0</v>
      </c>
      <c r="S221" s="98">
        <f t="shared" si="51"/>
        <v>0</v>
      </c>
      <c r="T221" s="98">
        <f t="shared" si="52"/>
        <v>0</v>
      </c>
      <c r="U221" s="98">
        <f t="shared" si="53"/>
        <v>0</v>
      </c>
      <c r="V221" s="98">
        <f t="shared" si="54"/>
        <v>0</v>
      </c>
      <c r="W221" s="98">
        <f t="shared" si="55"/>
        <v>0</v>
      </c>
      <c r="X221" s="98">
        <f t="shared" si="56"/>
        <v>0</v>
      </c>
      <c r="Y221" s="104"/>
      <c r="Z221" s="105"/>
    </row>
    <row r="222" spans="1:26" ht="12.75" customHeight="1">
      <c r="A222" s="25"/>
      <c r="B222" s="26"/>
      <c r="C222" s="26"/>
      <c r="D222" s="26"/>
      <c r="E222" s="103" t="s">
        <v>523</v>
      </c>
      <c r="F222" s="26" t="s">
        <v>522</v>
      </c>
      <c r="G222" s="98">
        <f t="shared" si="47"/>
        <v>37502.4</v>
      </c>
      <c r="H222" s="45"/>
      <c r="I222" s="45">
        <v>37502.4</v>
      </c>
      <c r="J222" s="98"/>
      <c r="K222" s="54"/>
      <c r="L222" s="54"/>
      <c r="M222" s="98"/>
      <c r="N222" s="45"/>
      <c r="O222" s="45"/>
      <c r="P222" s="98">
        <f t="shared" si="48"/>
        <v>0</v>
      </c>
      <c r="Q222" s="98">
        <f t="shared" si="49"/>
        <v>0</v>
      </c>
      <c r="R222" s="98">
        <f t="shared" si="50"/>
        <v>0</v>
      </c>
      <c r="S222" s="98">
        <f t="shared" si="51"/>
        <v>0</v>
      </c>
      <c r="T222" s="98">
        <f t="shared" si="52"/>
        <v>0</v>
      </c>
      <c r="U222" s="98">
        <f t="shared" si="53"/>
        <v>0</v>
      </c>
      <c r="V222" s="98">
        <f t="shared" si="54"/>
        <v>0</v>
      </c>
      <c r="W222" s="98">
        <f t="shared" si="55"/>
        <v>0</v>
      </c>
      <c r="X222" s="98">
        <f t="shared" si="56"/>
        <v>0</v>
      </c>
      <c r="Y222" s="104"/>
      <c r="Z222" s="105"/>
    </row>
    <row r="223" spans="1:26" s="101" customFormat="1" ht="46.5" customHeight="1">
      <c r="A223" s="5" t="s">
        <v>280</v>
      </c>
      <c r="B223" s="6" t="s">
        <v>275</v>
      </c>
      <c r="C223" s="6" t="s">
        <v>237</v>
      </c>
      <c r="D223" s="82" t="s">
        <v>194</v>
      </c>
      <c r="E223" s="106" t="s">
        <v>281</v>
      </c>
      <c r="F223" s="110"/>
      <c r="G223" s="98">
        <f t="shared" si="47"/>
        <v>160657.8</v>
      </c>
      <c r="H223" s="111">
        <f>+H225</f>
        <v>39062</v>
      </c>
      <c r="I223" s="111">
        <f>+I225</f>
        <v>121595.8</v>
      </c>
      <c r="J223" s="98">
        <f t="shared" si="44"/>
        <v>163867</v>
      </c>
      <c r="K223" s="111">
        <f>+K225</f>
        <v>47256</v>
      </c>
      <c r="L223" s="111">
        <f>+L225</f>
        <v>116611</v>
      </c>
      <c r="M223" s="98">
        <f t="shared" si="45"/>
        <v>116520</v>
      </c>
      <c r="N223" s="111">
        <f>+N225</f>
        <v>40000</v>
      </c>
      <c r="O223" s="111">
        <f>+O225</f>
        <v>76520</v>
      </c>
      <c r="P223" s="98">
        <f t="shared" si="48"/>
        <v>-47347</v>
      </c>
      <c r="Q223" s="98">
        <f t="shared" si="49"/>
        <v>-7256</v>
      </c>
      <c r="R223" s="98">
        <f t="shared" si="50"/>
        <v>-40091</v>
      </c>
      <c r="S223" s="98">
        <f t="shared" si="51"/>
        <v>116520</v>
      </c>
      <c r="T223" s="98">
        <f t="shared" si="52"/>
        <v>40000</v>
      </c>
      <c r="U223" s="98">
        <f t="shared" si="53"/>
        <v>76520</v>
      </c>
      <c r="V223" s="98">
        <f t="shared" si="54"/>
        <v>116520</v>
      </c>
      <c r="W223" s="98">
        <f t="shared" si="55"/>
        <v>40000</v>
      </c>
      <c r="X223" s="98">
        <f t="shared" si="56"/>
        <v>76520</v>
      </c>
      <c r="Y223" s="99"/>
      <c r="Z223" s="100"/>
    </row>
    <row r="224" spans="1:26" ht="12.75" customHeight="1">
      <c r="A224" s="12"/>
      <c r="B224" s="14"/>
      <c r="C224" s="14"/>
      <c r="D224" s="102"/>
      <c r="E224" s="103" t="s">
        <v>199</v>
      </c>
      <c r="F224" s="102"/>
      <c r="G224" s="98">
        <f t="shared" si="47"/>
        <v>0</v>
      </c>
      <c r="H224" s="45"/>
      <c r="I224" s="45"/>
      <c r="J224" s="98">
        <f t="shared" si="44"/>
        <v>0</v>
      </c>
      <c r="K224" s="54"/>
      <c r="L224" s="54"/>
      <c r="M224" s="98">
        <f t="shared" si="45"/>
        <v>0</v>
      </c>
      <c r="N224" s="45"/>
      <c r="O224" s="45"/>
      <c r="P224" s="98">
        <f t="shared" si="48"/>
        <v>0</v>
      </c>
      <c r="Q224" s="98">
        <f t="shared" si="49"/>
        <v>0</v>
      </c>
      <c r="R224" s="98">
        <f t="shared" si="50"/>
        <v>0</v>
      </c>
      <c r="S224" s="98">
        <f t="shared" si="51"/>
        <v>0</v>
      </c>
      <c r="T224" s="98">
        <f t="shared" si="52"/>
        <v>0</v>
      </c>
      <c r="U224" s="98">
        <f t="shared" si="53"/>
        <v>0</v>
      </c>
      <c r="V224" s="98">
        <f t="shared" si="54"/>
        <v>0</v>
      </c>
      <c r="W224" s="98">
        <f t="shared" si="55"/>
        <v>0</v>
      </c>
      <c r="X224" s="98">
        <f t="shared" si="56"/>
        <v>0</v>
      </c>
      <c r="Y224" s="104"/>
      <c r="Z224" s="105"/>
    </row>
    <row r="225" spans="1:26" ht="12.75" customHeight="1">
      <c r="A225" s="25" t="s">
        <v>282</v>
      </c>
      <c r="B225" s="26" t="s">
        <v>275</v>
      </c>
      <c r="C225" s="26" t="s">
        <v>237</v>
      </c>
      <c r="D225" s="26" t="s">
        <v>197</v>
      </c>
      <c r="E225" s="103" t="s">
        <v>281</v>
      </c>
      <c r="F225" s="102"/>
      <c r="G225" s="98">
        <f t="shared" si="47"/>
        <v>160657.8</v>
      </c>
      <c r="H225" s="54">
        <f>+H227</f>
        <v>39062</v>
      </c>
      <c r="I225" s="54">
        <f>+I227</f>
        <v>121595.8</v>
      </c>
      <c r="J225" s="98">
        <f t="shared" si="44"/>
        <v>163867</v>
      </c>
      <c r="K225" s="54">
        <f>+K227</f>
        <v>47256</v>
      </c>
      <c r="L225" s="54">
        <f>+L227</f>
        <v>116611</v>
      </c>
      <c r="M225" s="98">
        <f t="shared" si="45"/>
        <v>116520</v>
      </c>
      <c r="N225" s="54">
        <f>+N227</f>
        <v>40000</v>
      </c>
      <c r="O225" s="54">
        <f>+O227</f>
        <v>76520</v>
      </c>
      <c r="P225" s="98">
        <f t="shared" si="48"/>
        <v>-47347</v>
      </c>
      <c r="Q225" s="98">
        <f t="shared" si="49"/>
        <v>-7256</v>
      </c>
      <c r="R225" s="98">
        <f t="shared" si="50"/>
        <v>-40091</v>
      </c>
      <c r="S225" s="98">
        <f t="shared" si="51"/>
        <v>116520</v>
      </c>
      <c r="T225" s="98">
        <f t="shared" si="52"/>
        <v>40000</v>
      </c>
      <c r="U225" s="98">
        <f t="shared" si="53"/>
        <v>76520</v>
      </c>
      <c r="V225" s="98">
        <f t="shared" si="54"/>
        <v>116520</v>
      </c>
      <c r="W225" s="98">
        <f t="shared" si="55"/>
        <v>40000</v>
      </c>
      <c r="X225" s="98">
        <f t="shared" si="56"/>
        <v>76520</v>
      </c>
      <c r="Y225" s="104"/>
      <c r="Z225" s="105"/>
    </row>
    <row r="226" spans="1:26" ht="12.75" customHeight="1">
      <c r="A226" s="12"/>
      <c r="B226" s="14"/>
      <c r="C226" s="14"/>
      <c r="D226" s="102"/>
      <c r="E226" s="103" t="s">
        <v>5</v>
      </c>
      <c r="F226" s="102"/>
      <c r="G226" s="98">
        <f t="shared" si="47"/>
        <v>0</v>
      </c>
      <c r="H226" s="45"/>
      <c r="I226" s="45"/>
      <c r="J226" s="98">
        <f t="shared" si="44"/>
        <v>0</v>
      </c>
      <c r="K226" s="54"/>
      <c r="L226" s="54"/>
      <c r="M226" s="98">
        <f t="shared" si="45"/>
        <v>0</v>
      </c>
      <c r="N226" s="45"/>
      <c r="O226" s="45"/>
      <c r="P226" s="98">
        <f t="shared" si="48"/>
        <v>0</v>
      </c>
      <c r="Q226" s="98">
        <f t="shared" si="49"/>
        <v>0</v>
      </c>
      <c r="R226" s="98">
        <f t="shared" si="50"/>
        <v>0</v>
      </c>
      <c r="S226" s="98">
        <f t="shared" si="51"/>
        <v>0</v>
      </c>
      <c r="T226" s="98">
        <f t="shared" si="52"/>
        <v>0</v>
      </c>
      <c r="U226" s="98">
        <f t="shared" si="53"/>
        <v>0</v>
      </c>
      <c r="V226" s="98">
        <f t="shared" si="54"/>
        <v>0</v>
      </c>
      <c r="W226" s="98">
        <f t="shared" si="55"/>
        <v>0</v>
      </c>
      <c r="X226" s="98">
        <f t="shared" si="56"/>
        <v>0</v>
      </c>
      <c r="Y226" s="104"/>
      <c r="Z226" s="105"/>
    </row>
    <row r="227" spans="1:26" ht="12.75" customHeight="1">
      <c r="A227" s="12"/>
      <c r="B227" s="14"/>
      <c r="C227" s="14"/>
      <c r="D227" s="102"/>
      <c r="E227" s="103" t="s">
        <v>634</v>
      </c>
      <c r="F227" s="102"/>
      <c r="G227" s="54">
        <f>+G228+G229+G231+G232+G233+G234</f>
        <v>131513.8</v>
      </c>
      <c r="H227" s="54">
        <f>+H228+H229+H231+H232+H233+H234+H230</f>
        <v>39062</v>
      </c>
      <c r="I227" s="54">
        <f>+I228+I229+I231+I232+I233+I234</f>
        <v>121595.8</v>
      </c>
      <c r="J227" s="98">
        <f t="shared" si="44"/>
        <v>163867</v>
      </c>
      <c r="K227" s="54">
        <f>+K228+K229+K231+K232+K233+K234</f>
        <v>47256</v>
      </c>
      <c r="L227" s="54">
        <f aca="true" t="shared" si="57" ref="L227:X227">+L228+L229+L231+L232+L233+L234</f>
        <v>116611</v>
      </c>
      <c r="M227" s="54">
        <f t="shared" si="57"/>
        <v>116520</v>
      </c>
      <c r="N227" s="54">
        <f>+N228+N229+N231+N232+N233+N234+N230</f>
        <v>40000</v>
      </c>
      <c r="O227" s="54">
        <f>+O228+O229+O231+O232+O233+O234</f>
        <v>76520</v>
      </c>
      <c r="P227" s="98">
        <f t="shared" si="48"/>
        <v>-47347</v>
      </c>
      <c r="Q227" s="98">
        <f t="shared" si="49"/>
        <v>-7256</v>
      </c>
      <c r="R227" s="98">
        <f t="shared" si="50"/>
        <v>-40091</v>
      </c>
      <c r="S227" s="98">
        <f t="shared" si="51"/>
        <v>116520</v>
      </c>
      <c r="T227" s="98">
        <f t="shared" si="52"/>
        <v>40000</v>
      </c>
      <c r="U227" s="98">
        <f t="shared" si="53"/>
        <v>76520</v>
      </c>
      <c r="V227" s="98">
        <f t="shared" si="54"/>
        <v>116520</v>
      </c>
      <c r="W227" s="98">
        <f t="shared" si="55"/>
        <v>40000</v>
      </c>
      <c r="X227" s="98">
        <f t="shared" si="56"/>
        <v>76520</v>
      </c>
      <c r="Y227" s="104"/>
      <c r="Z227" s="105"/>
    </row>
    <row r="228" spans="1:26" ht="12.75" customHeight="1">
      <c r="A228" s="12"/>
      <c r="B228" s="14"/>
      <c r="C228" s="14"/>
      <c r="D228" s="102"/>
      <c r="E228" s="103" t="s">
        <v>633</v>
      </c>
      <c r="F228" s="26">
        <v>4211</v>
      </c>
      <c r="G228" s="98"/>
      <c r="H228" s="54"/>
      <c r="I228" s="54"/>
      <c r="J228" s="98">
        <f t="shared" si="44"/>
        <v>125</v>
      </c>
      <c r="K228" s="54">
        <v>125</v>
      </c>
      <c r="L228" s="54"/>
      <c r="M228" s="98"/>
      <c r="N228" s="54"/>
      <c r="O228" s="54"/>
      <c r="P228" s="98">
        <f t="shared" si="48"/>
        <v>-125</v>
      </c>
      <c r="Q228" s="98">
        <f t="shared" si="49"/>
        <v>-125</v>
      </c>
      <c r="R228" s="98">
        <f t="shared" si="50"/>
        <v>0</v>
      </c>
      <c r="S228" s="98">
        <f t="shared" si="51"/>
        <v>0</v>
      </c>
      <c r="T228" s="98">
        <f t="shared" si="52"/>
        <v>0</v>
      </c>
      <c r="U228" s="98">
        <f t="shared" si="53"/>
        <v>0</v>
      </c>
      <c r="V228" s="98">
        <f t="shared" si="54"/>
        <v>0</v>
      </c>
      <c r="W228" s="98">
        <f t="shared" si="55"/>
        <v>0</v>
      </c>
      <c r="X228" s="98">
        <f t="shared" si="56"/>
        <v>0</v>
      </c>
      <c r="Y228" s="104"/>
      <c r="Z228" s="105"/>
    </row>
    <row r="229" spans="1:26" ht="12.75" customHeight="1">
      <c r="A229" s="12"/>
      <c r="B229" s="14"/>
      <c r="C229" s="14"/>
      <c r="D229" s="102"/>
      <c r="E229" s="103" t="s">
        <v>390</v>
      </c>
      <c r="F229" s="26" t="s">
        <v>389</v>
      </c>
      <c r="G229" s="98">
        <f aca="true" t="shared" si="58" ref="G229:G315">+H229+I229</f>
        <v>0</v>
      </c>
      <c r="H229" s="45"/>
      <c r="I229" s="45"/>
      <c r="J229" s="98">
        <f t="shared" si="44"/>
        <v>7131</v>
      </c>
      <c r="K229" s="54">
        <f>577+1337.1+906+3260+155.4+656.2+239.3</f>
        <v>7131</v>
      </c>
      <c r="L229" s="54"/>
      <c r="M229" s="98">
        <f t="shared" si="45"/>
        <v>0</v>
      </c>
      <c r="N229" s="45"/>
      <c r="O229" s="45"/>
      <c r="P229" s="98">
        <f t="shared" si="48"/>
        <v>-7131</v>
      </c>
      <c r="Q229" s="98">
        <f t="shared" si="49"/>
        <v>-7131</v>
      </c>
      <c r="R229" s="98">
        <f t="shared" si="50"/>
        <v>0</v>
      </c>
      <c r="S229" s="98">
        <f t="shared" si="51"/>
        <v>0</v>
      </c>
      <c r="T229" s="98">
        <f t="shared" si="52"/>
        <v>0</v>
      </c>
      <c r="U229" s="98">
        <f t="shared" si="53"/>
        <v>0</v>
      </c>
      <c r="V229" s="98">
        <f t="shared" si="54"/>
        <v>0</v>
      </c>
      <c r="W229" s="98">
        <f t="shared" si="55"/>
        <v>0</v>
      </c>
      <c r="X229" s="98">
        <f t="shared" si="56"/>
        <v>0</v>
      </c>
      <c r="Y229" s="104"/>
      <c r="Z229" s="105"/>
    </row>
    <row r="230" spans="1:26" ht="12.75" customHeight="1">
      <c r="A230" s="12"/>
      <c r="B230" s="14"/>
      <c r="C230" s="14"/>
      <c r="D230" s="102"/>
      <c r="E230" s="103" t="s">
        <v>420</v>
      </c>
      <c r="F230" s="26">
        <v>4239</v>
      </c>
      <c r="G230" s="98">
        <f t="shared" si="58"/>
        <v>29144</v>
      </c>
      <c r="H230" s="45">
        <v>29144</v>
      </c>
      <c r="I230" s="45"/>
      <c r="J230" s="98"/>
      <c r="K230" s="54"/>
      <c r="L230" s="54"/>
      <c r="M230" s="98"/>
      <c r="N230" s="45"/>
      <c r="O230" s="45"/>
      <c r="P230" s="98">
        <f t="shared" si="48"/>
        <v>0</v>
      </c>
      <c r="Q230" s="98">
        <f t="shared" si="49"/>
        <v>0</v>
      </c>
      <c r="R230" s="98">
        <f t="shared" si="50"/>
        <v>0</v>
      </c>
      <c r="S230" s="98">
        <f t="shared" si="51"/>
        <v>0</v>
      </c>
      <c r="T230" s="98">
        <f t="shared" si="52"/>
        <v>0</v>
      </c>
      <c r="U230" s="98">
        <f t="shared" si="53"/>
        <v>0</v>
      </c>
      <c r="V230" s="98">
        <f t="shared" si="54"/>
        <v>0</v>
      </c>
      <c r="W230" s="98">
        <f t="shared" si="55"/>
        <v>0</v>
      </c>
      <c r="X230" s="98">
        <f t="shared" si="56"/>
        <v>0</v>
      </c>
      <c r="Y230" s="104"/>
      <c r="Z230" s="105"/>
    </row>
    <row r="231" spans="1:26" ht="12.75" customHeight="1">
      <c r="A231" s="12"/>
      <c r="B231" s="14"/>
      <c r="C231" s="14"/>
      <c r="D231" s="102"/>
      <c r="E231" s="103" t="s">
        <v>455</v>
      </c>
      <c r="F231" s="26">
        <v>4511</v>
      </c>
      <c r="G231" s="98">
        <f t="shared" si="58"/>
        <v>9918</v>
      </c>
      <c r="H231" s="45">
        <v>9918</v>
      </c>
      <c r="I231" s="45"/>
      <c r="J231" s="98">
        <f t="shared" si="44"/>
        <v>40000</v>
      </c>
      <c r="K231" s="54">
        <v>40000</v>
      </c>
      <c r="L231" s="54"/>
      <c r="M231" s="98">
        <f t="shared" si="45"/>
        <v>40000</v>
      </c>
      <c r="N231" s="45">
        <v>40000</v>
      </c>
      <c r="O231" s="45"/>
      <c r="P231" s="98">
        <f t="shared" si="48"/>
        <v>0</v>
      </c>
      <c r="Q231" s="98">
        <f t="shared" si="49"/>
        <v>0</v>
      </c>
      <c r="R231" s="98">
        <f t="shared" si="50"/>
        <v>0</v>
      </c>
      <c r="S231" s="98">
        <f t="shared" si="51"/>
        <v>40000</v>
      </c>
      <c r="T231" s="98">
        <f t="shared" si="52"/>
        <v>40000</v>
      </c>
      <c r="U231" s="98">
        <f t="shared" si="53"/>
        <v>0</v>
      </c>
      <c r="V231" s="98">
        <f t="shared" si="54"/>
        <v>40000</v>
      </c>
      <c r="W231" s="98">
        <f t="shared" si="55"/>
        <v>40000</v>
      </c>
      <c r="X231" s="98">
        <f t="shared" si="56"/>
        <v>0</v>
      </c>
      <c r="Y231" s="104"/>
      <c r="Z231" s="105"/>
    </row>
    <row r="232" spans="1:26" ht="12.75" customHeight="1">
      <c r="A232" s="12"/>
      <c r="B232" s="14"/>
      <c r="C232" s="14"/>
      <c r="D232" s="102"/>
      <c r="E232" s="103" t="s">
        <v>523</v>
      </c>
      <c r="F232" s="26">
        <v>5113</v>
      </c>
      <c r="G232" s="98">
        <f t="shared" si="58"/>
        <v>119675.8</v>
      </c>
      <c r="H232" s="45"/>
      <c r="I232" s="45">
        <v>119675.8</v>
      </c>
      <c r="J232" s="98">
        <f t="shared" si="44"/>
        <v>100510</v>
      </c>
      <c r="K232" s="54"/>
      <c r="L232" s="54">
        <f>4023.5+96486.5</f>
        <v>100510</v>
      </c>
      <c r="M232" s="98">
        <f t="shared" si="45"/>
        <v>52252</v>
      </c>
      <c r="N232" s="45"/>
      <c r="O232" s="45">
        <v>52252</v>
      </c>
      <c r="P232" s="98">
        <f t="shared" si="48"/>
        <v>-48258</v>
      </c>
      <c r="Q232" s="98">
        <f t="shared" si="49"/>
        <v>0</v>
      </c>
      <c r="R232" s="98">
        <f t="shared" si="50"/>
        <v>-48258</v>
      </c>
      <c r="S232" s="98">
        <f t="shared" si="51"/>
        <v>52252</v>
      </c>
      <c r="T232" s="98">
        <f t="shared" si="52"/>
        <v>0</v>
      </c>
      <c r="U232" s="98">
        <f t="shared" si="53"/>
        <v>52252</v>
      </c>
      <c r="V232" s="98">
        <f t="shared" si="54"/>
        <v>52252</v>
      </c>
      <c r="W232" s="98">
        <f t="shared" si="55"/>
        <v>0</v>
      </c>
      <c r="X232" s="98">
        <f t="shared" si="56"/>
        <v>52252</v>
      </c>
      <c r="Y232" s="104"/>
      <c r="Z232" s="105"/>
    </row>
    <row r="233" spans="1:26" ht="12.75" customHeight="1">
      <c r="A233" s="12"/>
      <c r="B233" s="14"/>
      <c r="C233" s="14"/>
      <c r="D233" s="102"/>
      <c r="E233" s="103" t="s">
        <v>529</v>
      </c>
      <c r="F233" s="26">
        <v>5122</v>
      </c>
      <c r="G233" s="98">
        <f t="shared" si="58"/>
        <v>1920</v>
      </c>
      <c r="H233" s="45"/>
      <c r="I233" s="45">
        <v>1920</v>
      </c>
      <c r="J233" s="98">
        <f t="shared" si="44"/>
        <v>10624</v>
      </c>
      <c r="K233" s="54"/>
      <c r="L233" s="54">
        <f>624+10000</f>
        <v>10624</v>
      </c>
      <c r="M233" s="98">
        <f t="shared" si="45"/>
        <v>20000</v>
      </c>
      <c r="N233" s="45"/>
      <c r="O233" s="45">
        <v>20000</v>
      </c>
      <c r="P233" s="98">
        <f t="shared" si="48"/>
        <v>9376</v>
      </c>
      <c r="Q233" s="98">
        <f t="shared" si="49"/>
        <v>0</v>
      </c>
      <c r="R233" s="98">
        <f t="shared" si="50"/>
        <v>9376</v>
      </c>
      <c r="S233" s="98">
        <f t="shared" si="51"/>
        <v>20000</v>
      </c>
      <c r="T233" s="98">
        <f t="shared" si="52"/>
        <v>0</v>
      </c>
      <c r="U233" s="98">
        <f t="shared" si="53"/>
        <v>20000</v>
      </c>
      <c r="V233" s="98">
        <f t="shared" si="54"/>
        <v>20000</v>
      </c>
      <c r="W233" s="98">
        <f t="shared" si="55"/>
        <v>0</v>
      </c>
      <c r="X233" s="98">
        <f t="shared" si="56"/>
        <v>20000</v>
      </c>
      <c r="Y233" s="104"/>
      <c r="Z233" s="105"/>
    </row>
    <row r="234" spans="1:26" ht="12.75" customHeight="1">
      <c r="A234" s="12"/>
      <c r="B234" s="14"/>
      <c r="C234" s="14"/>
      <c r="D234" s="102"/>
      <c r="E234" s="103" t="s">
        <v>538</v>
      </c>
      <c r="F234" s="26">
        <v>5134</v>
      </c>
      <c r="G234" s="98">
        <f t="shared" si="58"/>
        <v>0</v>
      </c>
      <c r="H234" s="45"/>
      <c r="I234" s="45"/>
      <c r="J234" s="98">
        <f t="shared" si="44"/>
        <v>5477</v>
      </c>
      <c r="K234" s="54"/>
      <c r="L234" s="54">
        <v>5477</v>
      </c>
      <c r="M234" s="98">
        <f t="shared" si="45"/>
        <v>4268</v>
      </c>
      <c r="N234" s="45"/>
      <c r="O234" s="45">
        <v>4268</v>
      </c>
      <c r="P234" s="98">
        <f t="shared" si="48"/>
        <v>-1209</v>
      </c>
      <c r="Q234" s="98">
        <f t="shared" si="49"/>
        <v>0</v>
      </c>
      <c r="R234" s="98">
        <f t="shared" si="50"/>
        <v>-1209</v>
      </c>
      <c r="S234" s="98">
        <f t="shared" si="51"/>
        <v>4268</v>
      </c>
      <c r="T234" s="98">
        <f t="shared" si="52"/>
        <v>0</v>
      </c>
      <c r="U234" s="98">
        <f t="shared" si="53"/>
        <v>4268</v>
      </c>
      <c r="V234" s="98">
        <f t="shared" si="54"/>
        <v>4268</v>
      </c>
      <c r="W234" s="98">
        <f t="shared" si="55"/>
        <v>0</v>
      </c>
      <c r="X234" s="98">
        <f t="shared" si="56"/>
        <v>4268</v>
      </c>
      <c r="Y234" s="104"/>
      <c r="Z234" s="105"/>
    </row>
    <row r="235" spans="1:26" ht="22.5" customHeight="1">
      <c r="A235" s="10" t="s">
        <v>286</v>
      </c>
      <c r="B235" s="7" t="s">
        <v>275</v>
      </c>
      <c r="C235" s="7" t="s">
        <v>214</v>
      </c>
      <c r="D235" s="7" t="s">
        <v>194</v>
      </c>
      <c r="E235" s="28" t="s">
        <v>287</v>
      </c>
      <c r="F235" s="26"/>
      <c r="G235" s="98">
        <f t="shared" si="58"/>
        <v>27610.2</v>
      </c>
      <c r="H235" s="45"/>
      <c r="I235" s="45">
        <f>+I236</f>
        <v>27610.2</v>
      </c>
      <c r="J235" s="98"/>
      <c r="K235" s="54"/>
      <c r="L235" s="54"/>
      <c r="M235" s="98"/>
      <c r="N235" s="45"/>
      <c r="O235" s="45">
        <f>+O236</f>
        <v>0</v>
      </c>
      <c r="P235" s="98">
        <f t="shared" si="48"/>
        <v>0</v>
      </c>
      <c r="Q235" s="98">
        <f t="shared" si="49"/>
        <v>0</v>
      </c>
      <c r="R235" s="98">
        <f t="shared" si="50"/>
        <v>0</v>
      </c>
      <c r="S235" s="98">
        <f t="shared" si="51"/>
        <v>0</v>
      </c>
      <c r="T235" s="98">
        <f t="shared" si="52"/>
        <v>0</v>
      </c>
      <c r="U235" s="98">
        <f t="shared" si="53"/>
        <v>0</v>
      </c>
      <c r="V235" s="98">
        <f t="shared" si="54"/>
        <v>0</v>
      </c>
      <c r="W235" s="98">
        <f t="shared" si="55"/>
        <v>0</v>
      </c>
      <c r="X235" s="98">
        <f t="shared" si="56"/>
        <v>0</v>
      </c>
      <c r="Y235" s="104"/>
      <c r="Z235" s="105"/>
    </row>
    <row r="236" spans="1:26" ht="12.75" customHeight="1">
      <c r="A236" s="25" t="s">
        <v>288</v>
      </c>
      <c r="B236" s="26" t="s">
        <v>275</v>
      </c>
      <c r="C236" s="26" t="s">
        <v>214</v>
      </c>
      <c r="D236" s="26" t="s">
        <v>197</v>
      </c>
      <c r="E236" s="13" t="s">
        <v>287</v>
      </c>
      <c r="F236" s="26"/>
      <c r="G236" s="98">
        <f t="shared" si="58"/>
        <v>27610.2</v>
      </c>
      <c r="H236" s="45"/>
      <c r="I236" s="45">
        <f>+I237</f>
        <v>27610.2</v>
      </c>
      <c r="J236" s="98"/>
      <c r="K236" s="54"/>
      <c r="L236" s="54"/>
      <c r="M236" s="98"/>
      <c r="N236" s="45"/>
      <c r="O236" s="45">
        <f>+O237</f>
        <v>0</v>
      </c>
      <c r="P236" s="98">
        <f t="shared" si="48"/>
        <v>0</v>
      </c>
      <c r="Q236" s="98">
        <f t="shared" si="49"/>
        <v>0</v>
      </c>
      <c r="R236" s="98">
        <f t="shared" si="50"/>
        <v>0</v>
      </c>
      <c r="S236" s="98">
        <f t="shared" si="51"/>
        <v>0</v>
      </c>
      <c r="T236" s="98">
        <f t="shared" si="52"/>
        <v>0</v>
      </c>
      <c r="U236" s="98">
        <f t="shared" si="53"/>
        <v>0</v>
      </c>
      <c r="V236" s="98">
        <f t="shared" si="54"/>
        <v>0</v>
      </c>
      <c r="W236" s="98">
        <f t="shared" si="55"/>
        <v>0</v>
      </c>
      <c r="X236" s="98">
        <f t="shared" si="56"/>
        <v>0</v>
      </c>
      <c r="Y236" s="104"/>
      <c r="Z236" s="105"/>
    </row>
    <row r="237" spans="1:26" ht="12.75" customHeight="1">
      <c r="A237" s="12"/>
      <c r="B237" s="14"/>
      <c r="C237" s="14"/>
      <c r="D237" s="102"/>
      <c r="E237" s="103" t="s">
        <v>523</v>
      </c>
      <c r="F237" s="26">
        <v>5113</v>
      </c>
      <c r="G237" s="98">
        <f t="shared" si="58"/>
        <v>27610.2</v>
      </c>
      <c r="H237" s="45"/>
      <c r="I237" s="45">
        <v>27610.2</v>
      </c>
      <c r="J237" s="98"/>
      <c r="K237" s="54"/>
      <c r="L237" s="54"/>
      <c r="M237" s="98"/>
      <c r="N237" s="45"/>
      <c r="O237" s="45"/>
      <c r="P237" s="98">
        <f t="shared" si="48"/>
        <v>0</v>
      </c>
      <c r="Q237" s="98">
        <f t="shared" si="49"/>
        <v>0</v>
      </c>
      <c r="R237" s="98">
        <f t="shared" si="50"/>
        <v>0</v>
      </c>
      <c r="S237" s="98">
        <f t="shared" si="51"/>
        <v>0</v>
      </c>
      <c r="T237" s="98">
        <f t="shared" si="52"/>
        <v>0</v>
      </c>
      <c r="U237" s="98">
        <f t="shared" si="53"/>
        <v>0</v>
      </c>
      <c r="V237" s="98">
        <f t="shared" si="54"/>
        <v>0</v>
      </c>
      <c r="W237" s="98">
        <f t="shared" si="55"/>
        <v>0</v>
      </c>
      <c r="X237" s="98">
        <f t="shared" si="56"/>
        <v>0</v>
      </c>
      <c r="Y237" s="104"/>
      <c r="Z237" s="105"/>
    </row>
    <row r="238" spans="1:26" s="101" customFormat="1" ht="46.5" customHeight="1">
      <c r="A238" s="5" t="s">
        <v>289</v>
      </c>
      <c r="B238" s="6" t="s">
        <v>290</v>
      </c>
      <c r="C238" s="6" t="s">
        <v>194</v>
      </c>
      <c r="D238" s="82" t="s">
        <v>194</v>
      </c>
      <c r="E238" s="106" t="s">
        <v>291</v>
      </c>
      <c r="F238" s="110"/>
      <c r="G238" s="98">
        <f t="shared" si="58"/>
        <v>6699.6</v>
      </c>
      <c r="H238" s="111">
        <f>+H243+H240+H248</f>
        <v>6699.6</v>
      </c>
      <c r="I238" s="111">
        <f>+I243</f>
        <v>0</v>
      </c>
      <c r="J238" s="98">
        <f t="shared" si="44"/>
        <v>10000</v>
      </c>
      <c r="K238" s="111">
        <f>+K243</f>
        <v>10000</v>
      </c>
      <c r="L238" s="111">
        <f>+L243</f>
        <v>0</v>
      </c>
      <c r="M238" s="98">
        <f t="shared" si="45"/>
        <v>5000</v>
      </c>
      <c r="N238" s="111">
        <f>+N243+N240+N248</f>
        <v>5000</v>
      </c>
      <c r="O238" s="111">
        <f>+O243</f>
        <v>0</v>
      </c>
      <c r="P238" s="98">
        <f t="shared" si="48"/>
        <v>-5000</v>
      </c>
      <c r="Q238" s="98">
        <f t="shared" si="49"/>
        <v>-5000</v>
      </c>
      <c r="R238" s="98">
        <f t="shared" si="50"/>
        <v>0</v>
      </c>
      <c r="S238" s="98">
        <f t="shared" si="51"/>
        <v>5000</v>
      </c>
      <c r="T238" s="98">
        <f t="shared" si="52"/>
        <v>5000</v>
      </c>
      <c r="U238" s="98">
        <f t="shared" si="53"/>
        <v>0</v>
      </c>
      <c r="V238" s="98">
        <f t="shared" si="54"/>
        <v>5000</v>
      </c>
      <c r="W238" s="98">
        <f t="shared" si="55"/>
        <v>5000</v>
      </c>
      <c r="X238" s="98">
        <f t="shared" si="56"/>
        <v>0</v>
      </c>
      <c r="Y238" s="99"/>
      <c r="Z238" s="100"/>
    </row>
    <row r="239" spans="1:26" ht="12.75" customHeight="1">
      <c r="A239" s="12"/>
      <c r="B239" s="14"/>
      <c r="C239" s="14"/>
      <c r="D239" s="102"/>
      <c r="E239" s="103" t="s">
        <v>5</v>
      </c>
      <c r="F239" s="102"/>
      <c r="G239" s="98">
        <f t="shared" si="58"/>
        <v>0</v>
      </c>
      <c r="H239" s="45"/>
      <c r="I239" s="45"/>
      <c r="J239" s="98">
        <f t="shared" si="44"/>
        <v>0</v>
      </c>
      <c r="K239" s="54"/>
      <c r="L239" s="54"/>
      <c r="M239" s="98">
        <f t="shared" si="45"/>
        <v>0</v>
      </c>
      <c r="N239" s="45"/>
      <c r="O239" s="45"/>
      <c r="P239" s="98">
        <f t="shared" si="48"/>
        <v>0</v>
      </c>
      <c r="Q239" s="98">
        <f t="shared" si="49"/>
        <v>0</v>
      </c>
      <c r="R239" s="98">
        <f t="shared" si="50"/>
        <v>0</v>
      </c>
      <c r="S239" s="98">
        <f t="shared" si="51"/>
        <v>0</v>
      </c>
      <c r="T239" s="98">
        <f t="shared" si="52"/>
        <v>0</v>
      </c>
      <c r="U239" s="98">
        <f t="shared" si="53"/>
        <v>0</v>
      </c>
      <c r="V239" s="98">
        <f t="shared" si="54"/>
        <v>0</v>
      </c>
      <c r="W239" s="98">
        <f t="shared" si="55"/>
        <v>0</v>
      </c>
      <c r="X239" s="98">
        <f t="shared" si="56"/>
        <v>0</v>
      </c>
      <c r="Y239" s="104"/>
      <c r="Z239" s="105"/>
    </row>
    <row r="240" spans="1:26" ht="12.75" customHeight="1">
      <c r="A240" s="25">
        <v>2720</v>
      </c>
      <c r="B240" s="26">
        <v>7</v>
      </c>
      <c r="C240" s="26">
        <v>2</v>
      </c>
      <c r="D240" s="26">
        <v>0</v>
      </c>
      <c r="E240" s="28" t="s">
        <v>714</v>
      </c>
      <c r="F240" s="102"/>
      <c r="G240" s="98">
        <f t="shared" si="58"/>
        <v>778</v>
      </c>
      <c r="H240" s="45">
        <f>+H241</f>
        <v>778</v>
      </c>
      <c r="I240" s="45"/>
      <c r="J240" s="98"/>
      <c r="K240" s="54"/>
      <c r="L240" s="54"/>
      <c r="M240" s="98"/>
      <c r="N240" s="45">
        <f>+N241</f>
        <v>0</v>
      </c>
      <c r="O240" s="45"/>
      <c r="P240" s="98">
        <f t="shared" si="48"/>
        <v>0</v>
      </c>
      <c r="Q240" s="98">
        <f t="shared" si="49"/>
        <v>0</v>
      </c>
      <c r="R240" s="98">
        <f t="shared" si="50"/>
        <v>0</v>
      </c>
      <c r="S240" s="98">
        <f t="shared" si="51"/>
        <v>0</v>
      </c>
      <c r="T240" s="98">
        <f t="shared" si="52"/>
        <v>0</v>
      </c>
      <c r="U240" s="98">
        <f t="shared" si="53"/>
        <v>0</v>
      </c>
      <c r="V240" s="98">
        <f t="shared" si="54"/>
        <v>0</v>
      </c>
      <c r="W240" s="98">
        <f t="shared" si="55"/>
        <v>0</v>
      </c>
      <c r="X240" s="98">
        <f t="shared" si="56"/>
        <v>0</v>
      </c>
      <c r="Y240" s="104"/>
      <c r="Z240" s="105"/>
    </row>
    <row r="241" spans="1:26" ht="12.75" customHeight="1">
      <c r="A241" s="25">
        <v>2721</v>
      </c>
      <c r="B241" s="26">
        <v>7</v>
      </c>
      <c r="C241" s="26">
        <v>2</v>
      </c>
      <c r="D241" s="26">
        <v>1</v>
      </c>
      <c r="E241" s="13" t="s">
        <v>715</v>
      </c>
      <c r="F241" s="102"/>
      <c r="G241" s="98">
        <f t="shared" si="58"/>
        <v>778</v>
      </c>
      <c r="H241" s="45">
        <f>+H242</f>
        <v>778</v>
      </c>
      <c r="I241" s="45"/>
      <c r="J241" s="98"/>
      <c r="K241" s="54"/>
      <c r="L241" s="54"/>
      <c r="M241" s="98"/>
      <c r="N241" s="45">
        <f>+N242</f>
        <v>0</v>
      </c>
      <c r="O241" s="45"/>
      <c r="P241" s="98">
        <f t="shared" si="48"/>
        <v>0</v>
      </c>
      <c r="Q241" s="98">
        <f t="shared" si="49"/>
        <v>0</v>
      </c>
      <c r="R241" s="98">
        <f t="shared" si="50"/>
        <v>0</v>
      </c>
      <c r="S241" s="98">
        <f t="shared" si="51"/>
        <v>0</v>
      </c>
      <c r="T241" s="98">
        <f t="shared" si="52"/>
        <v>0</v>
      </c>
      <c r="U241" s="98">
        <f t="shared" si="53"/>
        <v>0</v>
      </c>
      <c r="V241" s="98">
        <f t="shared" si="54"/>
        <v>0</v>
      </c>
      <c r="W241" s="98">
        <f t="shared" si="55"/>
        <v>0</v>
      </c>
      <c r="X241" s="98">
        <f t="shared" si="56"/>
        <v>0</v>
      </c>
      <c r="Y241" s="104"/>
      <c r="Z241" s="105"/>
    </row>
    <row r="242" spans="1:26" ht="12.75" customHeight="1">
      <c r="A242" s="14"/>
      <c r="B242" s="14"/>
      <c r="C242" s="14"/>
      <c r="D242" s="102"/>
      <c r="E242" s="103" t="s">
        <v>644</v>
      </c>
      <c r="F242" s="26">
        <v>4729</v>
      </c>
      <c r="G242" s="98">
        <f t="shared" si="58"/>
        <v>778</v>
      </c>
      <c r="H242" s="45">
        <v>778</v>
      </c>
      <c r="I242" s="45"/>
      <c r="J242" s="98"/>
      <c r="K242" s="54"/>
      <c r="L242" s="54"/>
      <c r="M242" s="98"/>
      <c r="N242" s="45"/>
      <c r="O242" s="45"/>
      <c r="P242" s="98">
        <f t="shared" si="48"/>
        <v>0</v>
      </c>
      <c r="Q242" s="98">
        <f t="shared" si="49"/>
        <v>0</v>
      </c>
      <c r="R242" s="98">
        <f t="shared" si="50"/>
        <v>0</v>
      </c>
      <c r="S242" s="98">
        <f t="shared" si="51"/>
        <v>0</v>
      </c>
      <c r="T242" s="98">
        <f t="shared" si="52"/>
        <v>0</v>
      </c>
      <c r="U242" s="98">
        <f t="shared" si="53"/>
        <v>0</v>
      </c>
      <c r="V242" s="98">
        <f t="shared" si="54"/>
        <v>0</v>
      </c>
      <c r="W242" s="98">
        <f t="shared" si="55"/>
        <v>0</v>
      </c>
      <c r="X242" s="98">
        <f t="shared" si="56"/>
        <v>0</v>
      </c>
      <c r="Y242" s="104"/>
      <c r="Z242" s="105"/>
    </row>
    <row r="243" spans="1:26" ht="12.75" customHeight="1">
      <c r="A243" s="59" t="s">
        <v>664</v>
      </c>
      <c r="B243" s="59" t="s">
        <v>250</v>
      </c>
      <c r="C243" s="59" t="s">
        <v>203</v>
      </c>
      <c r="D243" s="59" t="s">
        <v>194</v>
      </c>
      <c r="E243" s="60" t="s">
        <v>665</v>
      </c>
      <c r="F243" s="26"/>
      <c r="G243" s="98">
        <f t="shared" si="58"/>
        <v>5621.6</v>
      </c>
      <c r="H243" s="54">
        <f aca="true" t="shared" si="59" ref="H243:X243">+H244</f>
        <v>5621.6</v>
      </c>
      <c r="I243" s="54">
        <f t="shared" si="59"/>
        <v>0</v>
      </c>
      <c r="J243" s="98">
        <f t="shared" si="44"/>
        <v>10000</v>
      </c>
      <c r="K243" s="54">
        <f t="shared" si="59"/>
        <v>10000</v>
      </c>
      <c r="L243" s="54">
        <f t="shared" si="59"/>
        <v>0</v>
      </c>
      <c r="M243" s="98">
        <f t="shared" si="45"/>
        <v>5000</v>
      </c>
      <c r="N243" s="54">
        <f t="shared" si="59"/>
        <v>5000</v>
      </c>
      <c r="O243" s="54">
        <f t="shared" si="59"/>
        <v>0</v>
      </c>
      <c r="P243" s="98">
        <f t="shared" si="48"/>
        <v>-5000</v>
      </c>
      <c r="Q243" s="98">
        <f t="shared" si="49"/>
        <v>-5000</v>
      </c>
      <c r="R243" s="98">
        <f t="shared" si="50"/>
        <v>0</v>
      </c>
      <c r="S243" s="98">
        <f t="shared" si="51"/>
        <v>5000</v>
      </c>
      <c r="T243" s="98">
        <f t="shared" si="52"/>
        <v>5000</v>
      </c>
      <c r="U243" s="98">
        <f t="shared" si="53"/>
        <v>0</v>
      </c>
      <c r="V243" s="98">
        <f t="shared" si="54"/>
        <v>5000</v>
      </c>
      <c r="W243" s="98">
        <f t="shared" si="55"/>
        <v>5000</v>
      </c>
      <c r="X243" s="98">
        <f t="shared" si="56"/>
        <v>0</v>
      </c>
      <c r="Y243" s="104"/>
      <c r="Z243" s="105"/>
    </row>
    <row r="244" spans="1:26" ht="12.75" customHeight="1">
      <c r="A244" s="42" t="s">
        <v>666</v>
      </c>
      <c r="B244" s="42" t="s">
        <v>250</v>
      </c>
      <c r="C244" s="42" t="s">
        <v>203</v>
      </c>
      <c r="D244" s="42" t="s">
        <v>197</v>
      </c>
      <c r="E244" s="41" t="s">
        <v>667</v>
      </c>
      <c r="F244" s="26"/>
      <c r="G244" s="98">
        <f t="shared" si="58"/>
        <v>5621.6</v>
      </c>
      <c r="H244" s="54">
        <f>+H246</f>
        <v>5621.6</v>
      </c>
      <c r="I244" s="54">
        <f>+I246</f>
        <v>0</v>
      </c>
      <c r="J244" s="98">
        <f t="shared" si="44"/>
        <v>10000</v>
      </c>
      <c r="K244" s="54">
        <f>+K246</f>
        <v>10000</v>
      </c>
      <c r="L244" s="54">
        <f>+L246</f>
        <v>0</v>
      </c>
      <c r="M244" s="98">
        <f t="shared" si="45"/>
        <v>5000</v>
      </c>
      <c r="N244" s="54">
        <f>+N246</f>
        <v>5000</v>
      </c>
      <c r="O244" s="54">
        <f>+O246</f>
        <v>0</v>
      </c>
      <c r="P244" s="98">
        <f t="shared" si="48"/>
        <v>-5000</v>
      </c>
      <c r="Q244" s="98">
        <f t="shared" si="49"/>
        <v>-5000</v>
      </c>
      <c r="R244" s="98">
        <f t="shared" si="50"/>
        <v>0</v>
      </c>
      <c r="S244" s="98">
        <f t="shared" si="51"/>
        <v>5000</v>
      </c>
      <c r="T244" s="98">
        <f t="shared" si="52"/>
        <v>5000</v>
      </c>
      <c r="U244" s="98">
        <f t="shared" si="53"/>
        <v>0</v>
      </c>
      <c r="V244" s="98">
        <f t="shared" si="54"/>
        <v>5000</v>
      </c>
      <c r="W244" s="98">
        <f t="shared" si="55"/>
        <v>5000</v>
      </c>
      <c r="X244" s="98">
        <f t="shared" si="56"/>
        <v>0</v>
      </c>
      <c r="Y244" s="104"/>
      <c r="Z244" s="105"/>
    </row>
    <row r="245" spans="1:26" ht="12.75" customHeight="1">
      <c r="A245" s="12"/>
      <c r="B245" s="14"/>
      <c r="C245" s="14"/>
      <c r="D245" s="102"/>
      <c r="E245" s="103" t="s">
        <v>5</v>
      </c>
      <c r="F245" s="26"/>
      <c r="G245" s="98">
        <f t="shared" si="58"/>
        <v>0</v>
      </c>
      <c r="H245" s="45"/>
      <c r="I245" s="45"/>
      <c r="J245" s="98">
        <f t="shared" si="44"/>
        <v>0</v>
      </c>
      <c r="K245" s="54"/>
      <c r="L245" s="54"/>
      <c r="M245" s="98">
        <f t="shared" si="45"/>
        <v>0</v>
      </c>
      <c r="N245" s="45"/>
      <c r="O245" s="45"/>
      <c r="P245" s="98">
        <f t="shared" si="48"/>
        <v>0</v>
      </c>
      <c r="Q245" s="98">
        <f t="shared" si="49"/>
        <v>0</v>
      </c>
      <c r="R245" s="98">
        <f t="shared" si="50"/>
        <v>0</v>
      </c>
      <c r="S245" s="98">
        <f t="shared" si="51"/>
        <v>0</v>
      </c>
      <c r="T245" s="98">
        <f t="shared" si="52"/>
        <v>0</v>
      </c>
      <c r="U245" s="98">
        <f t="shared" si="53"/>
        <v>0</v>
      </c>
      <c r="V245" s="98">
        <f t="shared" si="54"/>
        <v>0</v>
      </c>
      <c r="W245" s="98">
        <f t="shared" si="55"/>
        <v>0</v>
      </c>
      <c r="X245" s="98">
        <f t="shared" si="56"/>
        <v>0</v>
      </c>
      <c r="Y245" s="104"/>
      <c r="Z245" s="105"/>
    </row>
    <row r="246" spans="1:26" ht="12.75" customHeight="1">
      <c r="A246" s="12"/>
      <c r="B246" s="14"/>
      <c r="C246" s="14"/>
      <c r="D246" s="102"/>
      <c r="E246" s="103" t="s">
        <v>668</v>
      </c>
      <c r="F246" s="26"/>
      <c r="G246" s="98">
        <f t="shared" si="58"/>
        <v>5621.6</v>
      </c>
      <c r="H246" s="54">
        <f aca="true" t="shared" si="60" ref="H246:X246">+H247</f>
        <v>5621.6</v>
      </c>
      <c r="I246" s="54">
        <f t="shared" si="60"/>
        <v>0</v>
      </c>
      <c r="J246" s="98">
        <f t="shared" si="44"/>
        <v>10000</v>
      </c>
      <c r="K246" s="54">
        <f t="shared" si="60"/>
        <v>10000</v>
      </c>
      <c r="L246" s="54">
        <f t="shared" si="60"/>
        <v>0</v>
      </c>
      <c r="M246" s="98">
        <f t="shared" si="45"/>
        <v>5000</v>
      </c>
      <c r="N246" s="54">
        <f t="shared" si="60"/>
        <v>5000</v>
      </c>
      <c r="O246" s="54">
        <f t="shared" si="60"/>
        <v>0</v>
      </c>
      <c r="P246" s="98">
        <f t="shared" si="48"/>
        <v>-5000</v>
      </c>
      <c r="Q246" s="98">
        <f t="shared" si="49"/>
        <v>-5000</v>
      </c>
      <c r="R246" s="98">
        <f t="shared" si="50"/>
        <v>0</v>
      </c>
      <c r="S246" s="98">
        <f t="shared" si="51"/>
        <v>5000</v>
      </c>
      <c r="T246" s="98">
        <f t="shared" si="52"/>
        <v>5000</v>
      </c>
      <c r="U246" s="98">
        <f t="shared" si="53"/>
        <v>0</v>
      </c>
      <c r="V246" s="98">
        <f t="shared" si="54"/>
        <v>5000</v>
      </c>
      <c r="W246" s="98">
        <f t="shared" si="55"/>
        <v>5000</v>
      </c>
      <c r="X246" s="98">
        <f t="shared" si="56"/>
        <v>0</v>
      </c>
      <c r="Y246" s="104"/>
      <c r="Z246" s="105"/>
    </row>
    <row r="247" spans="1:26" ht="12.75" customHeight="1">
      <c r="A247" s="12"/>
      <c r="B247" s="14"/>
      <c r="C247" s="14"/>
      <c r="D247" s="102"/>
      <c r="E247" s="103" t="s">
        <v>644</v>
      </c>
      <c r="F247" s="26">
        <v>4729</v>
      </c>
      <c r="G247" s="98">
        <f t="shared" si="58"/>
        <v>5621.6</v>
      </c>
      <c r="H247" s="45">
        <f>2370.4+3251.2</f>
        <v>5621.6</v>
      </c>
      <c r="I247" s="45"/>
      <c r="J247" s="98">
        <f t="shared" si="44"/>
        <v>10000</v>
      </c>
      <c r="K247" s="54">
        <v>10000</v>
      </c>
      <c r="L247" s="54"/>
      <c r="M247" s="98">
        <f t="shared" si="45"/>
        <v>5000</v>
      </c>
      <c r="N247" s="45">
        <v>5000</v>
      </c>
      <c r="O247" s="45"/>
      <c r="P247" s="98">
        <f t="shared" si="48"/>
        <v>-5000</v>
      </c>
      <c r="Q247" s="98">
        <f t="shared" si="49"/>
        <v>-5000</v>
      </c>
      <c r="R247" s="98">
        <f t="shared" si="50"/>
        <v>0</v>
      </c>
      <c r="S247" s="98">
        <f t="shared" si="51"/>
        <v>5000</v>
      </c>
      <c r="T247" s="98">
        <f t="shared" si="52"/>
        <v>5000</v>
      </c>
      <c r="U247" s="98">
        <f t="shared" si="53"/>
        <v>0</v>
      </c>
      <c r="V247" s="98">
        <f t="shared" si="54"/>
        <v>5000</v>
      </c>
      <c r="W247" s="98">
        <f t="shared" si="55"/>
        <v>5000</v>
      </c>
      <c r="X247" s="98">
        <f t="shared" si="56"/>
        <v>0</v>
      </c>
      <c r="Y247" s="104"/>
      <c r="Z247" s="105"/>
    </row>
    <row r="248" spans="1:26" ht="12.75" customHeight="1">
      <c r="A248" s="10" t="s">
        <v>296</v>
      </c>
      <c r="B248" s="7" t="s">
        <v>290</v>
      </c>
      <c r="C248" s="7" t="s">
        <v>214</v>
      </c>
      <c r="D248" s="7" t="s">
        <v>194</v>
      </c>
      <c r="E248" s="28" t="s">
        <v>297</v>
      </c>
      <c r="F248" s="26"/>
      <c r="G248" s="98">
        <f t="shared" si="58"/>
        <v>300</v>
      </c>
      <c r="H248" s="45">
        <f>+H249</f>
        <v>300</v>
      </c>
      <c r="I248" s="45"/>
      <c r="J248" s="98"/>
      <c r="K248" s="54"/>
      <c r="L248" s="54"/>
      <c r="M248" s="98"/>
      <c r="N248" s="45">
        <f>+N249</f>
        <v>0</v>
      </c>
      <c r="O248" s="45"/>
      <c r="P248" s="98">
        <f t="shared" si="48"/>
        <v>0</v>
      </c>
      <c r="Q248" s="98">
        <f t="shared" si="49"/>
        <v>0</v>
      </c>
      <c r="R248" s="98">
        <f t="shared" si="50"/>
        <v>0</v>
      </c>
      <c r="S248" s="98">
        <f t="shared" si="51"/>
        <v>0</v>
      </c>
      <c r="T248" s="98">
        <f t="shared" si="52"/>
        <v>0</v>
      </c>
      <c r="U248" s="98">
        <f t="shared" si="53"/>
        <v>0</v>
      </c>
      <c r="V248" s="98">
        <f t="shared" si="54"/>
        <v>0</v>
      </c>
      <c r="W248" s="98">
        <f t="shared" si="55"/>
        <v>0</v>
      </c>
      <c r="X248" s="98">
        <f t="shared" si="56"/>
        <v>0</v>
      </c>
      <c r="Y248" s="104"/>
      <c r="Z248" s="105"/>
    </row>
    <row r="249" spans="1:26" ht="12.75" customHeight="1">
      <c r="A249" s="25" t="s">
        <v>298</v>
      </c>
      <c r="B249" s="26" t="s">
        <v>290</v>
      </c>
      <c r="C249" s="26" t="s">
        <v>214</v>
      </c>
      <c r="D249" s="26">
        <v>2</v>
      </c>
      <c r="E249" s="13" t="s">
        <v>716</v>
      </c>
      <c r="F249" s="26"/>
      <c r="G249" s="98">
        <f t="shared" si="58"/>
        <v>300</v>
      </c>
      <c r="H249" s="45">
        <f>+H250</f>
        <v>300</v>
      </c>
      <c r="I249" s="45"/>
      <c r="J249" s="98"/>
      <c r="K249" s="54"/>
      <c r="L249" s="54"/>
      <c r="M249" s="98"/>
      <c r="N249" s="45">
        <f>+N250</f>
        <v>0</v>
      </c>
      <c r="O249" s="45"/>
      <c r="P249" s="98">
        <f t="shared" si="48"/>
        <v>0</v>
      </c>
      <c r="Q249" s="98">
        <f t="shared" si="49"/>
        <v>0</v>
      </c>
      <c r="R249" s="98">
        <f t="shared" si="50"/>
        <v>0</v>
      </c>
      <c r="S249" s="98">
        <f t="shared" si="51"/>
        <v>0</v>
      </c>
      <c r="T249" s="98">
        <f t="shared" si="52"/>
        <v>0</v>
      </c>
      <c r="U249" s="98">
        <f t="shared" si="53"/>
        <v>0</v>
      </c>
      <c r="V249" s="98">
        <f t="shared" si="54"/>
        <v>0</v>
      </c>
      <c r="W249" s="98">
        <f t="shared" si="55"/>
        <v>0</v>
      </c>
      <c r="X249" s="98">
        <f t="shared" si="56"/>
        <v>0</v>
      </c>
      <c r="Y249" s="104"/>
      <c r="Z249" s="105"/>
    </row>
    <row r="250" spans="1:26" ht="12.75" customHeight="1">
      <c r="A250" s="25"/>
      <c r="B250" s="26"/>
      <c r="C250" s="26"/>
      <c r="D250" s="26"/>
      <c r="E250" s="103" t="s">
        <v>644</v>
      </c>
      <c r="F250" s="26">
        <v>4729</v>
      </c>
      <c r="G250" s="98">
        <f t="shared" si="58"/>
        <v>300</v>
      </c>
      <c r="H250" s="45">
        <v>300</v>
      </c>
      <c r="I250" s="45"/>
      <c r="J250" s="98"/>
      <c r="K250" s="54"/>
      <c r="L250" s="54"/>
      <c r="M250" s="98"/>
      <c r="N250" s="45"/>
      <c r="O250" s="45"/>
      <c r="P250" s="98">
        <f t="shared" si="48"/>
        <v>0</v>
      </c>
      <c r="Q250" s="98">
        <f t="shared" si="49"/>
        <v>0</v>
      </c>
      <c r="R250" s="98">
        <f t="shared" si="50"/>
        <v>0</v>
      </c>
      <c r="S250" s="98">
        <f t="shared" si="51"/>
        <v>0</v>
      </c>
      <c r="T250" s="98">
        <f t="shared" si="52"/>
        <v>0</v>
      </c>
      <c r="U250" s="98">
        <f t="shared" si="53"/>
        <v>0</v>
      </c>
      <c r="V250" s="98">
        <f t="shared" si="54"/>
        <v>0</v>
      </c>
      <c r="W250" s="98">
        <f t="shared" si="55"/>
        <v>0</v>
      </c>
      <c r="X250" s="98">
        <f t="shared" si="56"/>
        <v>0</v>
      </c>
      <c r="Y250" s="104"/>
      <c r="Z250" s="105"/>
    </row>
    <row r="251" spans="1:26" s="101" customFormat="1" ht="46.5" customHeight="1">
      <c r="A251" s="5" t="s">
        <v>300</v>
      </c>
      <c r="B251" s="6" t="s">
        <v>301</v>
      </c>
      <c r="C251" s="6" t="s">
        <v>194</v>
      </c>
      <c r="D251" s="82" t="s">
        <v>194</v>
      </c>
      <c r="E251" s="106" t="s">
        <v>302</v>
      </c>
      <c r="F251" s="110"/>
      <c r="G251" s="98">
        <f t="shared" si="58"/>
        <v>250778.90000000002</v>
      </c>
      <c r="H251" s="111">
        <f>+H253+H264+H300+H309</f>
        <v>115366.7</v>
      </c>
      <c r="I251" s="111">
        <f>+I253+I264+I300+I309</f>
        <v>135412.2</v>
      </c>
      <c r="J251" s="98">
        <f t="shared" si="44"/>
        <v>346145.5</v>
      </c>
      <c r="K251" s="111">
        <f>+K253+K264+K300+K309</f>
        <v>161731.8</v>
      </c>
      <c r="L251" s="111">
        <f>+L253+L264+L300+L309</f>
        <v>184413.7</v>
      </c>
      <c r="M251" s="98">
        <f t="shared" si="45"/>
        <v>147500</v>
      </c>
      <c r="N251" s="111">
        <f>+N253+N264+N300+N309</f>
        <v>147500</v>
      </c>
      <c r="O251" s="111">
        <f>+O253+O264+O300+O309</f>
        <v>0</v>
      </c>
      <c r="P251" s="98">
        <f t="shared" si="48"/>
        <v>-198645.5</v>
      </c>
      <c r="Q251" s="98">
        <f t="shared" si="49"/>
        <v>-14231.799999999988</v>
      </c>
      <c r="R251" s="98">
        <f t="shared" si="50"/>
        <v>-184413.7</v>
      </c>
      <c r="S251" s="98">
        <f t="shared" si="51"/>
        <v>147500</v>
      </c>
      <c r="T251" s="98">
        <f t="shared" si="52"/>
        <v>147500</v>
      </c>
      <c r="U251" s="98">
        <f t="shared" si="53"/>
        <v>0</v>
      </c>
      <c r="V251" s="98">
        <f t="shared" si="54"/>
        <v>147500</v>
      </c>
      <c r="W251" s="98">
        <f t="shared" si="55"/>
        <v>147500</v>
      </c>
      <c r="X251" s="98">
        <f t="shared" si="56"/>
        <v>0</v>
      </c>
      <c r="Y251" s="99"/>
      <c r="Z251" s="100"/>
    </row>
    <row r="252" spans="1:26" ht="12.75" customHeight="1">
      <c r="A252" s="12"/>
      <c r="B252" s="14"/>
      <c r="C252" s="14"/>
      <c r="D252" s="102"/>
      <c r="E252" s="103" t="s">
        <v>5</v>
      </c>
      <c r="F252" s="102"/>
      <c r="G252" s="98">
        <f t="shared" si="58"/>
        <v>0</v>
      </c>
      <c r="H252" s="45"/>
      <c r="I252" s="45"/>
      <c r="J252" s="98">
        <f t="shared" si="44"/>
        <v>0</v>
      </c>
      <c r="K252" s="54"/>
      <c r="L252" s="54"/>
      <c r="M252" s="98">
        <f t="shared" si="45"/>
        <v>0</v>
      </c>
      <c r="N252" s="45"/>
      <c r="O252" s="45"/>
      <c r="P252" s="98">
        <f t="shared" si="48"/>
        <v>0</v>
      </c>
      <c r="Q252" s="98">
        <f t="shared" si="49"/>
        <v>0</v>
      </c>
      <c r="R252" s="98">
        <f t="shared" si="50"/>
        <v>0</v>
      </c>
      <c r="S252" s="98">
        <f t="shared" si="51"/>
        <v>0</v>
      </c>
      <c r="T252" s="98">
        <f t="shared" si="52"/>
        <v>0</v>
      </c>
      <c r="U252" s="98">
        <f t="shared" si="53"/>
        <v>0</v>
      </c>
      <c r="V252" s="98">
        <f t="shared" si="54"/>
        <v>0</v>
      </c>
      <c r="W252" s="98">
        <f t="shared" si="55"/>
        <v>0</v>
      </c>
      <c r="X252" s="98">
        <f t="shared" si="56"/>
        <v>0</v>
      </c>
      <c r="Y252" s="104"/>
      <c r="Z252" s="105"/>
    </row>
    <row r="253" spans="1:26" s="101" customFormat="1" ht="46.5" customHeight="1">
      <c r="A253" s="5" t="s">
        <v>303</v>
      </c>
      <c r="B253" s="6" t="s">
        <v>301</v>
      </c>
      <c r="C253" s="6" t="s">
        <v>197</v>
      </c>
      <c r="D253" s="82" t="s">
        <v>194</v>
      </c>
      <c r="E253" s="106" t="s">
        <v>304</v>
      </c>
      <c r="F253" s="110"/>
      <c r="G253" s="98">
        <f t="shared" si="58"/>
        <v>67191.4</v>
      </c>
      <c r="H253" s="111">
        <f>+H255</f>
        <v>2369.4</v>
      </c>
      <c r="I253" s="111">
        <f>+I255</f>
        <v>64822</v>
      </c>
      <c r="J253" s="98">
        <f t="shared" si="44"/>
        <v>175544</v>
      </c>
      <c r="K253" s="111">
        <f>+K255</f>
        <v>10000</v>
      </c>
      <c r="L253" s="111">
        <f>+L255</f>
        <v>165544</v>
      </c>
      <c r="M253" s="98">
        <f t="shared" si="45"/>
        <v>6000</v>
      </c>
      <c r="N253" s="111">
        <f>+N255</f>
        <v>6000</v>
      </c>
      <c r="O253" s="111">
        <f>+O255</f>
        <v>0</v>
      </c>
      <c r="P253" s="98">
        <f t="shared" si="48"/>
        <v>-169544</v>
      </c>
      <c r="Q253" s="98">
        <f t="shared" si="49"/>
        <v>-4000</v>
      </c>
      <c r="R253" s="98">
        <f t="shared" si="50"/>
        <v>-165544</v>
      </c>
      <c r="S253" s="98">
        <f t="shared" si="51"/>
        <v>6000</v>
      </c>
      <c r="T253" s="98">
        <f t="shared" si="52"/>
        <v>6000</v>
      </c>
      <c r="U253" s="98">
        <f t="shared" si="53"/>
        <v>0</v>
      </c>
      <c r="V253" s="98">
        <f t="shared" si="54"/>
        <v>6000</v>
      </c>
      <c r="W253" s="98">
        <f t="shared" si="55"/>
        <v>6000</v>
      </c>
      <c r="X253" s="98">
        <f t="shared" si="56"/>
        <v>0</v>
      </c>
      <c r="Y253" s="99"/>
      <c r="Z253" s="100"/>
    </row>
    <row r="254" spans="1:26" ht="12.75" customHeight="1">
      <c r="A254" s="12"/>
      <c r="B254" s="14"/>
      <c r="C254" s="14"/>
      <c r="D254" s="102"/>
      <c r="E254" s="103" t="s">
        <v>199</v>
      </c>
      <c r="F254" s="102"/>
      <c r="G254" s="98">
        <f t="shared" si="58"/>
        <v>0</v>
      </c>
      <c r="H254" s="45"/>
      <c r="I254" s="45"/>
      <c r="J254" s="98">
        <f t="shared" si="44"/>
        <v>0</v>
      </c>
      <c r="K254" s="54"/>
      <c r="L254" s="54"/>
      <c r="M254" s="98">
        <f t="shared" si="45"/>
        <v>0</v>
      </c>
      <c r="N254" s="45"/>
      <c r="O254" s="45"/>
      <c r="P254" s="98">
        <f t="shared" si="48"/>
        <v>0</v>
      </c>
      <c r="Q254" s="98">
        <f t="shared" si="49"/>
        <v>0</v>
      </c>
      <c r="R254" s="98">
        <f t="shared" si="50"/>
        <v>0</v>
      </c>
      <c r="S254" s="98">
        <f t="shared" si="51"/>
        <v>0</v>
      </c>
      <c r="T254" s="98">
        <f t="shared" si="52"/>
        <v>0</v>
      </c>
      <c r="U254" s="98">
        <f t="shared" si="53"/>
        <v>0</v>
      </c>
      <c r="V254" s="98">
        <f t="shared" si="54"/>
        <v>0</v>
      </c>
      <c r="W254" s="98">
        <f t="shared" si="55"/>
        <v>0</v>
      </c>
      <c r="X254" s="98">
        <f t="shared" si="56"/>
        <v>0</v>
      </c>
      <c r="Y254" s="104"/>
      <c r="Z254" s="105"/>
    </row>
    <row r="255" spans="1:26" ht="12.75" customHeight="1">
      <c r="A255" s="25" t="s">
        <v>305</v>
      </c>
      <c r="B255" s="26" t="s">
        <v>301</v>
      </c>
      <c r="C255" s="26" t="s">
        <v>197</v>
      </c>
      <c r="D255" s="26" t="s">
        <v>197</v>
      </c>
      <c r="E255" s="103" t="s">
        <v>304</v>
      </c>
      <c r="F255" s="102"/>
      <c r="G255" s="98">
        <f t="shared" si="58"/>
        <v>67191.4</v>
      </c>
      <c r="H255" s="54">
        <f>+H257+H260</f>
        <v>2369.4</v>
      </c>
      <c r="I255" s="54">
        <f>+I257+I260</f>
        <v>64822</v>
      </c>
      <c r="J255" s="98">
        <f t="shared" si="44"/>
        <v>175544</v>
      </c>
      <c r="K255" s="54">
        <f>+K257+K260</f>
        <v>10000</v>
      </c>
      <c r="L255" s="54">
        <f>+L257+L260</f>
        <v>165544</v>
      </c>
      <c r="M255" s="98">
        <f t="shared" si="45"/>
        <v>6000</v>
      </c>
      <c r="N255" s="54">
        <f>+N257+N260</f>
        <v>6000</v>
      </c>
      <c r="O255" s="54">
        <f>+O257+O260</f>
        <v>0</v>
      </c>
      <c r="P255" s="98">
        <f t="shared" si="48"/>
        <v>-169544</v>
      </c>
      <c r="Q255" s="98">
        <f t="shared" si="49"/>
        <v>-4000</v>
      </c>
      <c r="R255" s="98">
        <f t="shared" si="50"/>
        <v>-165544</v>
      </c>
      <c r="S255" s="98">
        <f t="shared" si="51"/>
        <v>6000</v>
      </c>
      <c r="T255" s="98">
        <f t="shared" si="52"/>
        <v>6000</v>
      </c>
      <c r="U255" s="98">
        <f t="shared" si="53"/>
        <v>0</v>
      </c>
      <c r="V255" s="98">
        <f t="shared" si="54"/>
        <v>6000</v>
      </c>
      <c r="W255" s="98">
        <f t="shared" si="55"/>
        <v>6000</v>
      </c>
      <c r="X255" s="98">
        <f t="shared" si="56"/>
        <v>0</v>
      </c>
      <c r="Y255" s="104"/>
      <c r="Z255" s="105"/>
    </row>
    <row r="256" spans="1:26" ht="12.75" customHeight="1">
      <c r="A256" s="12"/>
      <c r="B256" s="14"/>
      <c r="C256" s="14"/>
      <c r="D256" s="102"/>
      <c r="E256" s="103" t="s">
        <v>5</v>
      </c>
      <c r="F256" s="102"/>
      <c r="G256" s="98">
        <f t="shared" si="58"/>
        <v>0</v>
      </c>
      <c r="H256" s="45"/>
      <c r="I256" s="45"/>
      <c r="J256" s="98">
        <f t="shared" si="44"/>
        <v>0</v>
      </c>
      <c r="K256" s="54"/>
      <c r="L256" s="54"/>
      <c r="M256" s="98">
        <f t="shared" si="45"/>
        <v>0</v>
      </c>
      <c r="N256" s="45"/>
      <c r="O256" s="45"/>
      <c r="P256" s="98">
        <f t="shared" si="48"/>
        <v>0</v>
      </c>
      <c r="Q256" s="98">
        <f t="shared" si="49"/>
        <v>0</v>
      </c>
      <c r="R256" s="98">
        <f t="shared" si="50"/>
        <v>0</v>
      </c>
      <c r="S256" s="98">
        <f t="shared" si="51"/>
        <v>0</v>
      </c>
      <c r="T256" s="98">
        <f t="shared" si="52"/>
        <v>0</v>
      </c>
      <c r="U256" s="98">
        <f t="shared" si="53"/>
        <v>0</v>
      </c>
      <c r="V256" s="98">
        <f t="shared" si="54"/>
        <v>0</v>
      </c>
      <c r="W256" s="98">
        <f t="shared" si="55"/>
        <v>0</v>
      </c>
      <c r="X256" s="98">
        <f t="shared" si="56"/>
        <v>0</v>
      </c>
      <c r="Y256" s="104"/>
      <c r="Z256" s="105"/>
    </row>
    <row r="257" spans="1:26" s="101" customFormat="1" ht="46.5" customHeight="1">
      <c r="A257" s="5"/>
      <c r="B257" s="6"/>
      <c r="C257" s="6"/>
      <c r="D257" s="82"/>
      <c r="E257" s="106" t="s">
        <v>597</v>
      </c>
      <c r="F257" s="110"/>
      <c r="G257" s="98">
        <f t="shared" si="58"/>
        <v>2369.4</v>
      </c>
      <c r="H257" s="111">
        <f>+H258+H259</f>
        <v>2369.4</v>
      </c>
      <c r="I257" s="111">
        <f>+I258+I259</f>
        <v>0</v>
      </c>
      <c r="J257" s="98">
        <f t="shared" si="44"/>
        <v>10000</v>
      </c>
      <c r="K257" s="111">
        <f>+K258+K259</f>
        <v>10000</v>
      </c>
      <c r="L257" s="111">
        <f>+L258+L259</f>
        <v>0</v>
      </c>
      <c r="M257" s="98">
        <f t="shared" si="45"/>
        <v>6000</v>
      </c>
      <c r="N257" s="111">
        <f>+N258+N259</f>
        <v>6000</v>
      </c>
      <c r="O257" s="111">
        <f>+O258+O259</f>
        <v>0</v>
      </c>
      <c r="P257" s="98">
        <f t="shared" si="48"/>
        <v>-4000</v>
      </c>
      <c r="Q257" s="98">
        <f t="shared" si="49"/>
        <v>-4000</v>
      </c>
      <c r="R257" s="98">
        <f t="shared" si="50"/>
        <v>0</v>
      </c>
      <c r="S257" s="98">
        <f t="shared" si="51"/>
        <v>6000</v>
      </c>
      <c r="T257" s="98">
        <f t="shared" si="52"/>
        <v>6000</v>
      </c>
      <c r="U257" s="98">
        <f t="shared" si="53"/>
        <v>0</v>
      </c>
      <c r="V257" s="98">
        <f t="shared" si="54"/>
        <v>6000</v>
      </c>
      <c r="W257" s="98">
        <f t="shared" si="55"/>
        <v>6000</v>
      </c>
      <c r="X257" s="98">
        <f t="shared" si="56"/>
        <v>0</v>
      </c>
      <c r="Y257" s="99"/>
      <c r="Z257" s="100"/>
    </row>
    <row r="258" spans="1:26" s="101" customFormat="1" ht="28.5" customHeight="1">
      <c r="A258" s="5"/>
      <c r="B258" s="6"/>
      <c r="C258" s="6"/>
      <c r="D258" s="82"/>
      <c r="E258" s="13" t="s">
        <v>384</v>
      </c>
      <c r="F258" s="26">
        <v>4112</v>
      </c>
      <c r="G258" s="98">
        <f t="shared" si="58"/>
        <v>192.5</v>
      </c>
      <c r="H258" s="45">
        <v>192.5</v>
      </c>
      <c r="I258" s="45"/>
      <c r="J258" s="98">
        <f t="shared" si="44"/>
        <v>5000</v>
      </c>
      <c r="K258" s="111">
        <v>5000</v>
      </c>
      <c r="L258" s="111"/>
      <c r="M258" s="98">
        <f t="shared" si="45"/>
        <v>2000</v>
      </c>
      <c r="N258" s="45">
        <v>2000</v>
      </c>
      <c r="O258" s="45"/>
      <c r="P258" s="98">
        <f t="shared" si="48"/>
        <v>-3000</v>
      </c>
      <c r="Q258" s="98">
        <f t="shared" si="49"/>
        <v>-3000</v>
      </c>
      <c r="R258" s="98">
        <f t="shared" si="50"/>
        <v>0</v>
      </c>
      <c r="S258" s="98">
        <f t="shared" si="51"/>
        <v>2000</v>
      </c>
      <c r="T258" s="98">
        <f t="shared" si="52"/>
        <v>2000</v>
      </c>
      <c r="U258" s="98">
        <f t="shared" si="53"/>
        <v>0</v>
      </c>
      <c r="V258" s="98">
        <f t="shared" si="54"/>
        <v>2000</v>
      </c>
      <c r="W258" s="98">
        <f t="shared" si="55"/>
        <v>2000</v>
      </c>
      <c r="X258" s="98">
        <f t="shared" si="56"/>
        <v>0</v>
      </c>
      <c r="Y258" s="99"/>
      <c r="Z258" s="100"/>
    </row>
    <row r="259" spans="1:26" ht="12.75" customHeight="1">
      <c r="A259" s="12"/>
      <c r="B259" s="14"/>
      <c r="C259" s="14"/>
      <c r="D259" s="102"/>
      <c r="E259" s="103" t="s">
        <v>420</v>
      </c>
      <c r="F259" s="26" t="s">
        <v>421</v>
      </c>
      <c r="G259" s="98">
        <f t="shared" si="58"/>
        <v>2176.9</v>
      </c>
      <c r="H259" s="45">
        <f>801.5+1375.4</f>
        <v>2176.9</v>
      </c>
      <c r="I259" s="45"/>
      <c r="J259" s="98">
        <f t="shared" si="44"/>
        <v>5000</v>
      </c>
      <c r="K259" s="54">
        <v>5000</v>
      </c>
      <c r="L259" s="54"/>
      <c r="M259" s="98">
        <f t="shared" si="45"/>
        <v>4000</v>
      </c>
      <c r="N259" s="45">
        <v>4000</v>
      </c>
      <c r="O259" s="45"/>
      <c r="P259" s="98">
        <f t="shared" si="48"/>
        <v>-1000</v>
      </c>
      <c r="Q259" s="98">
        <f t="shared" si="49"/>
        <v>-1000</v>
      </c>
      <c r="R259" s="98">
        <f t="shared" si="50"/>
        <v>0</v>
      </c>
      <c r="S259" s="98">
        <f t="shared" si="51"/>
        <v>4000</v>
      </c>
      <c r="T259" s="98">
        <f t="shared" si="52"/>
        <v>4000</v>
      </c>
      <c r="U259" s="98">
        <f t="shared" si="53"/>
        <v>0</v>
      </c>
      <c r="V259" s="98">
        <f t="shared" si="54"/>
        <v>4000</v>
      </c>
      <c r="W259" s="98">
        <f t="shared" si="55"/>
        <v>4000</v>
      </c>
      <c r="X259" s="98">
        <f t="shared" si="56"/>
        <v>0</v>
      </c>
      <c r="Y259" s="104"/>
      <c r="Z259" s="105"/>
    </row>
    <row r="260" spans="1:26" s="101" customFormat="1" ht="46.5" customHeight="1">
      <c r="A260" s="5"/>
      <c r="B260" s="6"/>
      <c r="C260" s="6"/>
      <c r="D260" s="82"/>
      <c r="E260" s="106" t="s">
        <v>598</v>
      </c>
      <c r="F260" s="110"/>
      <c r="G260" s="98">
        <f t="shared" si="58"/>
        <v>64822</v>
      </c>
      <c r="H260" s="111">
        <f>+H261+H262+H263</f>
        <v>0</v>
      </c>
      <c r="I260" s="111">
        <f>+I261+I262+I263</f>
        <v>64822</v>
      </c>
      <c r="J260" s="98">
        <f t="shared" si="44"/>
        <v>165544</v>
      </c>
      <c r="K260" s="111">
        <f>+K261+K263</f>
        <v>0</v>
      </c>
      <c r="L260" s="111">
        <f>+L261+L263</f>
        <v>165544</v>
      </c>
      <c r="M260" s="98">
        <f t="shared" si="45"/>
        <v>0</v>
      </c>
      <c r="N260" s="111">
        <f>+N261+N262+N263</f>
        <v>0</v>
      </c>
      <c r="O260" s="111">
        <f>+O261+O262+O263</f>
        <v>0</v>
      </c>
      <c r="P260" s="98">
        <f t="shared" si="48"/>
        <v>-165544</v>
      </c>
      <c r="Q260" s="98">
        <f t="shared" si="49"/>
        <v>0</v>
      </c>
      <c r="R260" s="98">
        <f t="shared" si="50"/>
        <v>-165544</v>
      </c>
      <c r="S260" s="98">
        <f t="shared" si="51"/>
        <v>0</v>
      </c>
      <c r="T260" s="98">
        <f t="shared" si="52"/>
        <v>0</v>
      </c>
      <c r="U260" s="98">
        <f t="shared" si="53"/>
        <v>0</v>
      </c>
      <c r="V260" s="98">
        <f t="shared" si="54"/>
        <v>0</v>
      </c>
      <c r="W260" s="98">
        <f t="shared" si="55"/>
        <v>0</v>
      </c>
      <c r="X260" s="98">
        <f t="shared" si="56"/>
        <v>0</v>
      </c>
      <c r="Y260" s="99"/>
      <c r="Z260" s="100"/>
    </row>
    <row r="261" spans="1:26" ht="12.75" customHeight="1">
      <c r="A261" s="12"/>
      <c r="B261" s="14"/>
      <c r="C261" s="14"/>
      <c r="D261" s="102"/>
      <c r="E261" s="103" t="s">
        <v>521</v>
      </c>
      <c r="F261" s="26" t="s">
        <v>520</v>
      </c>
      <c r="G261" s="98">
        <f t="shared" si="58"/>
        <v>0</v>
      </c>
      <c r="H261" s="45"/>
      <c r="I261" s="45"/>
      <c r="J261" s="98">
        <f t="shared" si="44"/>
        <v>161700</v>
      </c>
      <c r="K261" s="54"/>
      <c r="L261" s="54">
        <v>161700</v>
      </c>
      <c r="M261" s="98">
        <f t="shared" si="45"/>
        <v>0</v>
      </c>
      <c r="N261" s="45"/>
      <c r="O261" s="45"/>
      <c r="P261" s="98">
        <f t="shared" si="48"/>
        <v>-161700</v>
      </c>
      <c r="Q261" s="98">
        <f t="shared" si="49"/>
        <v>0</v>
      </c>
      <c r="R261" s="98">
        <f t="shared" si="50"/>
        <v>-161700</v>
      </c>
      <c r="S261" s="98">
        <f t="shared" si="51"/>
        <v>0</v>
      </c>
      <c r="T261" s="98">
        <f t="shared" si="52"/>
        <v>0</v>
      </c>
      <c r="U261" s="98">
        <f t="shared" si="53"/>
        <v>0</v>
      </c>
      <c r="V261" s="98">
        <f t="shared" si="54"/>
        <v>0</v>
      </c>
      <c r="W261" s="98">
        <f t="shared" si="55"/>
        <v>0</v>
      </c>
      <c r="X261" s="98">
        <f t="shared" si="56"/>
        <v>0</v>
      </c>
      <c r="Y261" s="104"/>
      <c r="Z261" s="105"/>
    </row>
    <row r="262" spans="1:26" ht="12.75" customHeight="1">
      <c r="A262" s="12"/>
      <c r="B262" s="14"/>
      <c r="C262" s="14"/>
      <c r="D262" s="102"/>
      <c r="E262" s="103" t="s">
        <v>732</v>
      </c>
      <c r="F262" s="26">
        <v>5113</v>
      </c>
      <c r="G262" s="98">
        <f t="shared" si="58"/>
        <v>64062</v>
      </c>
      <c r="H262" s="45"/>
      <c r="I262" s="45">
        <f>25180.6+38881.4</f>
        <v>64062</v>
      </c>
      <c r="J262" s="98"/>
      <c r="K262" s="54"/>
      <c r="L262" s="54"/>
      <c r="M262" s="98"/>
      <c r="N262" s="45"/>
      <c r="O262" s="45"/>
      <c r="P262" s="98">
        <f t="shared" si="48"/>
        <v>0</v>
      </c>
      <c r="Q262" s="98">
        <f t="shared" si="49"/>
        <v>0</v>
      </c>
      <c r="R262" s="98">
        <f t="shared" si="50"/>
        <v>0</v>
      </c>
      <c r="S262" s="98">
        <f t="shared" si="51"/>
        <v>0</v>
      </c>
      <c r="T262" s="98">
        <f t="shared" si="52"/>
        <v>0</v>
      </c>
      <c r="U262" s="98">
        <f t="shared" si="53"/>
        <v>0</v>
      </c>
      <c r="V262" s="98">
        <f t="shared" si="54"/>
        <v>0</v>
      </c>
      <c r="W262" s="98">
        <f t="shared" si="55"/>
        <v>0</v>
      </c>
      <c r="X262" s="98">
        <f t="shared" si="56"/>
        <v>0</v>
      </c>
      <c r="Y262" s="104"/>
      <c r="Z262" s="105"/>
    </row>
    <row r="263" spans="1:26" ht="12.75" customHeight="1">
      <c r="A263" s="12"/>
      <c r="B263" s="14"/>
      <c r="C263" s="14"/>
      <c r="D263" s="102"/>
      <c r="E263" s="13" t="s">
        <v>538</v>
      </c>
      <c r="F263" s="26">
        <v>5134</v>
      </c>
      <c r="G263" s="98">
        <f t="shared" si="58"/>
        <v>760</v>
      </c>
      <c r="H263" s="45"/>
      <c r="I263" s="45">
        <f>670+90</f>
        <v>760</v>
      </c>
      <c r="J263" s="98">
        <f t="shared" si="44"/>
        <v>3844</v>
      </c>
      <c r="K263" s="54"/>
      <c r="L263" s="54">
        <v>3844</v>
      </c>
      <c r="M263" s="98">
        <f t="shared" si="45"/>
        <v>0</v>
      </c>
      <c r="N263" s="45"/>
      <c r="O263" s="45"/>
      <c r="P263" s="98">
        <f t="shared" si="48"/>
        <v>-3844</v>
      </c>
      <c r="Q263" s="98">
        <f t="shared" si="49"/>
        <v>0</v>
      </c>
      <c r="R263" s="98">
        <f t="shared" si="50"/>
        <v>-3844</v>
      </c>
      <c r="S263" s="98">
        <f t="shared" si="51"/>
        <v>0</v>
      </c>
      <c r="T263" s="98">
        <f t="shared" si="52"/>
        <v>0</v>
      </c>
      <c r="U263" s="98">
        <f t="shared" si="53"/>
        <v>0</v>
      </c>
      <c r="V263" s="98">
        <f t="shared" si="54"/>
        <v>0</v>
      </c>
      <c r="W263" s="98">
        <f t="shared" si="55"/>
        <v>0</v>
      </c>
      <c r="X263" s="98">
        <f t="shared" si="56"/>
        <v>0</v>
      </c>
      <c r="Y263" s="104"/>
      <c r="Z263" s="105"/>
    </row>
    <row r="264" spans="1:26" s="101" customFormat="1" ht="46.5" customHeight="1">
      <c r="A264" s="5" t="s">
        <v>306</v>
      </c>
      <c r="B264" s="6" t="s">
        <v>301</v>
      </c>
      <c r="C264" s="6" t="s">
        <v>221</v>
      </c>
      <c r="D264" s="82" t="s">
        <v>194</v>
      </c>
      <c r="E264" s="106" t="s">
        <v>307</v>
      </c>
      <c r="F264" s="110"/>
      <c r="G264" s="98">
        <f t="shared" si="58"/>
        <v>176787.9</v>
      </c>
      <c r="H264" s="111">
        <f>+H266+H270+H291+H296</f>
        <v>106429.7</v>
      </c>
      <c r="I264" s="111">
        <f>+I266+I270+I291+I296</f>
        <v>70358.2</v>
      </c>
      <c r="J264" s="98">
        <f t="shared" si="44"/>
        <v>137601.5</v>
      </c>
      <c r="K264" s="111">
        <f>+K266+K270+K291</f>
        <v>118731.79999999999</v>
      </c>
      <c r="L264" s="111">
        <f>+L266+L270+L291</f>
        <v>18869.7</v>
      </c>
      <c r="M264" s="98">
        <f t="shared" si="45"/>
        <v>114500</v>
      </c>
      <c r="N264" s="111">
        <f>+N266+N270+N291+N296</f>
        <v>114500</v>
      </c>
      <c r="O264" s="111">
        <f>+O266+O270+O291+O296</f>
        <v>0</v>
      </c>
      <c r="P264" s="98">
        <f t="shared" si="48"/>
        <v>-23101.5</v>
      </c>
      <c r="Q264" s="98">
        <f t="shared" si="49"/>
        <v>-4231.799999999988</v>
      </c>
      <c r="R264" s="98">
        <f t="shared" si="50"/>
        <v>-18869.7</v>
      </c>
      <c r="S264" s="98">
        <f t="shared" si="51"/>
        <v>114500</v>
      </c>
      <c r="T264" s="98">
        <f t="shared" si="52"/>
        <v>114500</v>
      </c>
      <c r="U264" s="98">
        <f t="shared" si="53"/>
        <v>0</v>
      </c>
      <c r="V264" s="98">
        <f t="shared" si="54"/>
        <v>114500</v>
      </c>
      <c r="W264" s="98">
        <f t="shared" si="55"/>
        <v>114500</v>
      </c>
      <c r="X264" s="98">
        <f t="shared" si="56"/>
        <v>0</v>
      </c>
      <c r="Y264" s="99"/>
      <c r="Z264" s="100"/>
    </row>
    <row r="265" spans="1:26" ht="12.75" customHeight="1">
      <c r="A265" s="12"/>
      <c r="B265" s="14"/>
      <c r="C265" s="14"/>
      <c r="D265" s="102"/>
      <c r="E265" s="103" t="s">
        <v>199</v>
      </c>
      <c r="F265" s="102"/>
      <c r="G265" s="98">
        <f t="shared" si="58"/>
        <v>0</v>
      </c>
      <c r="H265" s="45"/>
      <c r="I265" s="45"/>
      <c r="J265" s="98">
        <f t="shared" si="44"/>
        <v>0</v>
      </c>
      <c r="K265" s="54"/>
      <c r="L265" s="54"/>
      <c r="M265" s="98">
        <f t="shared" si="45"/>
        <v>0</v>
      </c>
      <c r="N265" s="45"/>
      <c r="O265" s="45"/>
      <c r="P265" s="98">
        <f t="shared" si="48"/>
        <v>0</v>
      </c>
      <c r="Q265" s="98">
        <f t="shared" si="49"/>
        <v>0</v>
      </c>
      <c r="R265" s="98">
        <f t="shared" si="50"/>
        <v>0</v>
      </c>
      <c r="S265" s="98">
        <f t="shared" si="51"/>
        <v>0</v>
      </c>
      <c r="T265" s="98">
        <f t="shared" si="52"/>
        <v>0</v>
      </c>
      <c r="U265" s="98">
        <f t="shared" si="53"/>
        <v>0</v>
      </c>
      <c r="V265" s="98">
        <f t="shared" si="54"/>
        <v>0</v>
      </c>
      <c r="W265" s="98">
        <f t="shared" si="55"/>
        <v>0</v>
      </c>
      <c r="X265" s="98">
        <f t="shared" si="56"/>
        <v>0</v>
      </c>
      <c r="Y265" s="104"/>
      <c r="Z265" s="105"/>
    </row>
    <row r="266" spans="1:26" ht="12.75" customHeight="1">
      <c r="A266" s="25" t="s">
        <v>308</v>
      </c>
      <c r="B266" s="26" t="s">
        <v>301</v>
      </c>
      <c r="C266" s="26" t="s">
        <v>221</v>
      </c>
      <c r="D266" s="26" t="s">
        <v>197</v>
      </c>
      <c r="E266" s="103" t="s">
        <v>309</v>
      </c>
      <c r="F266" s="102"/>
      <c r="G266" s="98">
        <f t="shared" si="58"/>
        <v>15500</v>
      </c>
      <c r="H266" s="54">
        <f>+H268</f>
        <v>15500</v>
      </c>
      <c r="I266" s="54">
        <f>+I268</f>
        <v>0</v>
      </c>
      <c r="J266" s="98">
        <f t="shared" si="44"/>
        <v>20000</v>
      </c>
      <c r="K266" s="54">
        <f>+K268</f>
        <v>20000</v>
      </c>
      <c r="L266" s="54">
        <f>+L268</f>
        <v>0</v>
      </c>
      <c r="M266" s="98">
        <f t="shared" si="45"/>
        <v>21000</v>
      </c>
      <c r="N266" s="54">
        <f>+N268</f>
        <v>21000</v>
      </c>
      <c r="O266" s="54">
        <f>+O268</f>
        <v>0</v>
      </c>
      <c r="P266" s="98">
        <f t="shared" si="48"/>
        <v>1000</v>
      </c>
      <c r="Q266" s="98">
        <f t="shared" si="49"/>
        <v>1000</v>
      </c>
      <c r="R266" s="98">
        <f t="shared" si="50"/>
        <v>0</v>
      </c>
      <c r="S266" s="98">
        <f t="shared" si="51"/>
        <v>21000</v>
      </c>
      <c r="T266" s="98">
        <f t="shared" si="52"/>
        <v>21000</v>
      </c>
      <c r="U266" s="98">
        <f t="shared" si="53"/>
        <v>0</v>
      </c>
      <c r="V266" s="98">
        <f t="shared" si="54"/>
        <v>21000</v>
      </c>
      <c r="W266" s="98">
        <f t="shared" si="55"/>
        <v>21000</v>
      </c>
      <c r="X266" s="98">
        <f t="shared" si="56"/>
        <v>0</v>
      </c>
      <c r="Y266" s="104"/>
      <c r="Z266" s="105"/>
    </row>
    <row r="267" spans="1:26" ht="12.75" customHeight="1">
      <c r="A267" s="12"/>
      <c r="B267" s="14"/>
      <c r="C267" s="14"/>
      <c r="D267" s="102"/>
      <c r="E267" s="103" t="s">
        <v>5</v>
      </c>
      <c r="F267" s="102"/>
      <c r="G267" s="98">
        <f t="shared" si="58"/>
        <v>0</v>
      </c>
      <c r="H267" s="45"/>
      <c r="I267" s="45"/>
      <c r="J267" s="98">
        <f t="shared" si="44"/>
        <v>0</v>
      </c>
      <c r="K267" s="54"/>
      <c r="L267" s="54"/>
      <c r="M267" s="98">
        <f t="shared" si="45"/>
        <v>0</v>
      </c>
      <c r="N267" s="45"/>
      <c r="O267" s="45"/>
      <c r="P267" s="98">
        <f aca="true" t="shared" si="61" ref="P267:P330">+M267-J267</f>
        <v>0</v>
      </c>
      <c r="Q267" s="98">
        <f aca="true" t="shared" si="62" ref="Q267:Q330">+N267-K267</f>
        <v>0</v>
      </c>
      <c r="R267" s="98">
        <f aca="true" t="shared" si="63" ref="R267:R330">+O267-L267</f>
        <v>0</v>
      </c>
      <c r="S267" s="98">
        <f aca="true" t="shared" si="64" ref="S267:S330">+M267</f>
        <v>0</v>
      </c>
      <c r="T267" s="98">
        <f aca="true" t="shared" si="65" ref="T267:T330">+N267</f>
        <v>0</v>
      </c>
      <c r="U267" s="98">
        <f aca="true" t="shared" si="66" ref="U267:U330">+O267</f>
        <v>0</v>
      </c>
      <c r="V267" s="98">
        <f aca="true" t="shared" si="67" ref="V267:V330">+M267</f>
        <v>0</v>
      </c>
      <c r="W267" s="98">
        <f aca="true" t="shared" si="68" ref="W267:W330">+N267</f>
        <v>0</v>
      </c>
      <c r="X267" s="98">
        <f aca="true" t="shared" si="69" ref="X267:X330">+O267</f>
        <v>0</v>
      </c>
      <c r="Y267" s="104"/>
      <c r="Z267" s="105"/>
    </row>
    <row r="268" spans="1:26" s="101" customFormat="1" ht="46.5" customHeight="1">
      <c r="A268" s="5"/>
      <c r="B268" s="6"/>
      <c r="C268" s="6"/>
      <c r="D268" s="82"/>
      <c r="E268" s="106" t="s">
        <v>616</v>
      </c>
      <c r="F268" s="110"/>
      <c r="G268" s="98">
        <f t="shared" si="58"/>
        <v>15500</v>
      </c>
      <c r="H268" s="111">
        <f aca="true" t="shared" si="70" ref="H268:X268">+H269</f>
        <v>15500</v>
      </c>
      <c r="I268" s="111">
        <f t="shared" si="70"/>
        <v>0</v>
      </c>
      <c r="J268" s="98">
        <f t="shared" si="44"/>
        <v>20000</v>
      </c>
      <c r="K268" s="111">
        <f t="shared" si="70"/>
        <v>20000</v>
      </c>
      <c r="L268" s="111">
        <f t="shared" si="70"/>
        <v>0</v>
      </c>
      <c r="M268" s="98">
        <f t="shared" si="45"/>
        <v>21000</v>
      </c>
      <c r="N268" s="111">
        <f t="shared" si="70"/>
        <v>21000</v>
      </c>
      <c r="O268" s="111">
        <f t="shared" si="70"/>
        <v>0</v>
      </c>
      <c r="P268" s="98">
        <f t="shared" si="61"/>
        <v>1000</v>
      </c>
      <c r="Q268" s="98">
        <f t="shared" si="62"/>
        <v>1000</v>
      </c>
      <c r="R268" s="98">
        <f t="shared" si="63"/>
        <v>0</v>
      </c>
      <c r="S268" s="98">
        <f t="shared" si="64"/>
        <v>21000</v>
      </c>
      <c r="T268" s="98">
        <f t="shared" si="65"/>
        <v>21000</v>
      </c>
      <c r="U268" s="98">
        <f t="shared" si="66"/>
        <v>0</v>
      </c>
      <c r="V268" s="98">
        <f t="shared" si="67"/>
        <v>21000</v>
      </c>
      <c r="W268" s="98">
        <f t="shared" si="68"/>
        <v>21000</v>
      </c>
      <c r="X268" s="98">
        <f t="shared" si="69"/>
        <v>0</v>
      </c>
      <c r="Y268" s="99"/>
      <c r="Z268" s="100"/>
    </row>
    <row r="269" spans="1:26" ht="12.75" customHeight="1">
      <c r="A269" s="12"/>
      <c r="B269" s="14"/>
      <c r="C269" s="14"/>
      <c r="D269" s="102"/>
      <c r="E269" s="103" t="s">
        <v>455</v>
      </c>
      <c r="F269" s="26" t="s">
        <v>456</v>
      </c>
      <c r="G269" s="98">
        <f t="shared" si="58"/>
        <v>15500</v>
      </c>
      <c r="H269" s="45">
        <v>15500</v>
      </c>
      <c r="I269" s="45"/>
      <c r="J269" s="98">
        <f aca="true" t="shared" si="71" ref="J269:J350">+K269+L269</f>
        <v>20000</v>
      </c>
      <c r="K269" s="54">
        <v>20000</v>
      </c>
      <c r="L269" s="54"/>
      <c r="M269" s="98">
        <f aca="true" t="shared" si="72" ref="M269:M350">+N269+O269</f>
        <v>21000</v>
      </c>
      <c r="N269" s="45">
        <v>21000</v>
      </c>
      <c r="O269" s="45"/>
      <c r="P269" s="98">
        <f t="shared" si="61"/>
        <v>1000</v>
      </c>
      <c r="Q269" s="98">
        <f t="shared" si="62"/>
        <v>1000</v>
      </c>
      <c r="R269" s="98">
        <f t="shared" si="63"/>
        <v>0</v>
      </c>
      <c r="S269" s="98">
        <f t="shared" si="64"/>
        <v>21000</v>
      </c>
      <c r="T269" s="98">
        <f t="shared" si="65"/>
        <v>21000</v>
      </c>
      <c r="U269" s="98">
        <f t="shared" si="66"/>
        <v>0</v>
      </c>
      <c r="V269" s="98">
        <f t="shared" si="67"/>
        <v>21000</v>
      </c>
      <c r="W269" s="98">
        <f t="shared" si="68"/>
        <v>21000</v>
      </c>
      <c r="X269" s="98">
        <f t="shared" si="69"/>
        <v>0</v>
      </c>
      <c r="Y269" s="104"/>
      <c r="Z269" s="105"/>
    </row>
    <row r="270" spans="1:26" ht="12.75" customHeight="1">
      <c r="A270" s="25" t="s">
        <v>312</v>
      </c>
      <c r="B270" s="26" t="s">
        <v>301</v>
      </c>
      <c r="C270" s="26" t="s">
        <v>221</v>
      </c>
      <c r="D270" s="26" t="s">
        <v>203</v>
      </c>
      <c r="E270" s="103" t="s">
        <v>313</v>
      </c>
      <c r="F270" s="102"/>
      <c r="G270" s="98">
        <f t="shared" si="58"/>
        <v>138160.4</v>
      </c>
      <c r="H270" s="54">
        <f>+H272+H282+H284+H286</f>
        <v>81084.5</v>
      </c>
      <c r="I270" s="54">
        <f>+I272+I282+I284+I286</f>
        <v>57075.9</v>
      </c>
      <c r="J270" s="98">
        <f t="shared" si="71"/>
        <v>107601.49999999999</v>
      </c>
      <c r="K270" s="54">
        <f>+K272+K282+K284+K286</f>
        <v>88731.79999999999</v>
      </c>
      <c r="L270" s="54">
        <f>+L272+L282+L284+L286</f>
        <v>18869.7</v>
      </c>
      <c r="M270" s="98">
        <f t="shared" si="72"/>
        <v>93500</v>
      </c>
      <c r="N270" s="54">
        <f>+N272+N282+N284+N286</f>
        <v>93500</v>
      </c>
      <c r="O270" s="54">
        <f>+O272+O282+O284+O286</f>
        <v>0</v>
      </c>
      <c r="P270" s="98">
        <f t="shared" si="61"/>
        <v>-14101.499999999985</v>
      </c>
      <c r="Q270" s="98">
        <f t="shared" si="62"/>
        <v>4768.200000000012</v>
      </c>
      <c r="R270" s="98">
        <f t="shared" si="63"/>
        <v>-18869.7</v>
      </c>
      <c r="S270" s="98">
        <f t="shared" si="64"/>
        <v>93500</v>
      </c>
      <c r="T270" s="98">
        <f t="shared" si="65"/>
        <v>93500</v>
      </c>
      <c r="U270" s="98">
        <f t="shared" si="66"/>
        <v>0</v>
      </c>
      <c r="V270" s="98">
        <f t="shared" si="67"/>
        <v>93500</v>
      </c>
      <c r="W270" s="98">
        <f t="shared" si="68"/>
        <v>93500</v>
      </c>
      <c r="X270" s="98">
        <f t="shared" si="69"/>
        <v>0</v>
      </c>
      <c r="Y270" s="104"/>
      <c r="Z270" s="105"/>
    </row>
    <row r="271" spans="1:26" ht="12.75" customHeight="1">
      <c r="A271" s="12"/>
      <c r="B271" s="14"/>
      <c r="C271" s="14"/>
      <c r="D271" s="102"/>
      <c r="E271" s="103" t="s">
        <v>5</v>
      </c>
      <c r="F271" s="102"/>
      <c r="G271" s="98">
        <f t="shared" si="58"/>
        <v>0</v>
      </c>
      <c r="H271" s="45"/>
      <c r="I271" s="45"/>
      <c r="J271" s="98">
        <f t="shared" si="71"/>
        <v>0</v>
      </c>
      <c r="K271" s="54"/>
      <c r="L271" s="54"/>
      <c r="M271" s="98">
        <f t="shared" si="72"/>
        <v>0</v>
      </c>
      <c r="N271" s="45"/>
      <c r="O271" s="45"/>
      <c r="P271" s="98">
        <f t="shared" si="61"/>
        <v>0</v>
      </c>
      <c r="Q271" s="98">
        <f t="shared" si="62"/>
        <v>0</v>
      </c>
      <c r="R271" s="98">
        <f t="shared" si="63"/>
        <v>0</v>
      </c>
      <c r="S271" s="98">
        <f t="shared" si="64"/>
        <v>0</v>
      </c>
      <c r="T271" s="98">
        <f t="shared" si="65"/>
        <v>0</v>
      </c>
      <c r="U271" s="98">
        <f t="shared" si="66"/>
        <v>0</v>
      </c>
      <c r="V271" s="98">
        <f t="shared" si="67"/>
        <v>0</v>
      </c>
      <c r="W271" s="98">
        <f t="shared" si="68"/>
        <v>0</v>
      </c>
      <c r="X271" s="98">
        <f t="shared" si="69"/>
        <v>0</v>
      </c>
      <c r="Y271" s="104"/>
      <c r="Z271" s="105"/>
    </row>
    <row r="272" spans="1:26" s="101" customFormat="1" ht="46.5" customHeight="1">
      <c r="A272" s="5"/>
      <c r="B272" s="6"/>
      <c r="C272" s="6"/>
      <c r="D272" s="82"/>
      <c r="E272" s="106" t="s">
        <v>619</v>
      </c>
      <c r="F272" s="110"/>
      <c r="G272" s="98">
        <f t="shared" si="58"/>
        <v>36292.899999999994</v>
      </c>
      <c r="H272" s="111">
        <f>+H273+H275+H276+H277+H278+H279+H280+H274</f>
        <v>25292.899999999998</v>
      </c>
      <c r="I272" s="111">
        <f>+I273+I275+I276+I277+I278+I279+I280+I281</f>
        <v>11000</v>
      </c>
      <c r="J272" s="98">
        <f t="shared" si="71"/>
        <v>33731.799999999996</v>
      </c>
      <c r="K272" s="111">
        <f>+K273+K275+K276+K277+K278+K279+K280</f>
        <v>33731.799999999996</v>
      </c>
      <c r="L272" s="111">
        <f>+L273+L275+L276+L277+L278+L279+L280</f>
        <v>0</v>
      </c>
      <c r="M272" s="98">
        <f t="shared" si="72"/>
        <v>38000</v>
      </c>
      <c r="N272" s="111">
        <f>+N273+N275+N276+N277+N278+N279+N280+N274</f>
        <v>38000</v>
      </c>
      <c r="O272" s="111">
        <f>+O273+O275+O276+O277+O278+O279+O280+O281</f>
        <v>0</v>
      </c>
      <c r="P272" s="98">
        <f t="shared" si="61"/>
        <v>4268.200000000004</v>
      </c>
      <c r="Q272" s="98">
        <f t="shared" si="62"/>
        <v>4268.200000000004</v>
      </c>
      <c r="R272" s="98">
        <f t="shared" si="63"/>
        <v>0</v>
      </c>
      <c r="S272" s="98">
        <f t="shared" si="64"/>
        <v>38000</v>
      </c>
      <c r="T272" s="98">
        <f t="shared" si="65"/>
        <v>38000</v>
      </c>
      <c r="U272" s="98">
        <f t="shared" si="66"/>
        <v>0</v>
      </c>
      <c r="V272" s="98">
        <f t="shared" si="67"/>
        <v>38000</v>
      </c>
      <c r="W272" s="98">
        <f t="shared" si="68"/>
        <v>38000</v>
      </c>
      <c r="X272" s="98">
        <f t="shared" si="69"/>
        <v>0</v>
      </c>
      <c r="Y272" s="99"/>
      <c r="Z272" s="100"/>
    </row>
    <row r="273" spans="1:26" ht="12.75" customHeight="1">
      <c r="A273" s="12"/>
      <c r="B273" s="14"/>
      <c r="C273" s="14"/>
      <c r="D273" s="102"/>
      <c r="E273" s="13" t="s">
        <v>382</v>
      </c>
      <c r="F273" s="26">
        <v>4111</v>
      </c>
      <c r="G273" s="98">
        <f t="shared" si="58"/>
        <v>21499.5</v>
      </c>
      <c r="H273" s="45">
        <v>21499.5</v>
      </c>
      <c r="I273" s="45"/>
      <c r="J273" s="98">
        <f t="shared" si="71"/>
        <v>28548</v>
      </c>
      <c r="K273" s="54">
        <f>24600+2056+1892</f>
        <v>28548</v>
      </c>
      <c r="L273" s="54"/>
      <c r="M273" s="98">
        <f t="shared" si="72"/>
        <v>26600</v>
      </c>
      <c r="N273" s="45">
        <v>26600</v>
      </c>
      <c r="O273" s="45"/>
      <c r="P273" s="98">
        <f t="shared" si="61"/>
        <v>-1948</v>
      </c>
      <c r="Q273" s="98">
        <f t="shared" si="62"/>
        <v>-1948</v>
      </c>
      <c r="R273" s="98">
        <f t="shared" si="63"/>
        <v>0</v>
      </c>
      <c r="S273" s="98">
        <f t="shared" si="64"/>
        <v>26600</v>
      </c>
      <c r="T273" s="98">
        <f t="shared" si="65"/>
        <v>26600</v>
      </c>
      <c r="U273" s="98">
        <f t="shared" si="66"/>
        <v>0</v>
      </c>
      <c r="V273" s="98">
        <f t="shared" si="67"/>
        <v>26600</v>
      </c>
      <c r="W273" s="98">
        <f t="shared" si="68"/>
        <v>26600</v>
      </c>
      <c r="X273" s="98">
        <f t="shared" si="69"/>
        <v>0</v>
      </c>
      <c r="Y273" s="104"/>
      <c r="Z273" s="105"/>
    </row>
    <row r="274" spans="1:26" ht="12.75" customHeight="1">
      <c r="A274" s="12"/>
      <c r="B274" s="14"/>
      <c r="C274" s="14"/>
      <c r="D274" s="102"/>
      <c r="E274" s="13"/>
      <c r="F274" s="26">
        <v>4112</v>
      </c>
      <c r="G274" s="98">
        <f t="shared" si="58"/>
        <v>1700</v>
      </c>
      <c r="H274" s="45">
        <v>1700</v>
      </c>
      <c r="I274" s="45"/>
      <c r="J274" s="98"/>
      <c r="K274" s="54"/>
      <c r="L274" s="54"/>
      <c r="M274" s="98"/>
      <c r="N274" s="45"/>
      <c r="O274" s="45"/>
      <c r="P274" s="98">
        <f t="shared" si="61"/>
        <v>0</v>
      </c>
      <c r="Q274" s="98">
        <f t="shared" si="62"/>
        <v>0</v>
      </c>
      <c r="R274" s="98">
        <f t="shared" si="63"/>
        <v>0</v>
      </c>
      <c r="S274" s="98">
        <f t="shared" si="64"/>
        <v>0</v>
      </c>
      <c r="T274" s="98">
        <f t="shared" si="65"/>
        <v>0</v>
      </c>
      <c r="U274" s="98">
        <f t="shared" si="66"/>
        <v>0</v>
      </c>
      <c r="V274" s="98">
        <f t="shared" si="67"/>
        <v>0</v>
      </c>
      <c r="W274" s="98">
        <f t="shared" si="68"/>
        <v>0</v>
      </c>
      <c r="X274" s="98">
        <f t="shared" si="69"/>
        <v>0</v>
      </c>
      <c r="Y274" s="104"/>
      <c r="Z274" s="105"/>
    </row>
    <row r="275" spans="1:26" ht="12.75" customHeight="1">
      <c r="A275" s="12"/>
      <c r="B275" s="14"/>
      <c r="C275" s="14"/>
      <c r="D275" s="102"/>
      <c r="E275" s="13" t="s">
        <v>390</v>
      </c>
      <c r="F275" s="26">
        <v>4212</v>
      </c>
      <c r="G275" s="98">
        <f t="shared" si="58"/>
        <v>1356</v>
      </c>
      <c r="H275" s="45">
        <v>1356</v>
      </c>
      <c r="I275" s="45"/>
      <c r="J275" s="98">
        <f t="shared" si="71"/>
        <v>4231.1</v>
      </c>
      <c r="K275" s="54">
        <f>2500+1270.8+459.3+1</f>
        <v>4231.1</v>
      </c>
      <c r="L275" s="54"/>
      <c r="M275" s="98">
        <f t="shared" si="72"/>
        <v>2500</v>
      </c>
      <c r="N275" s="45">
        <v>2500</v>
      </c>
      <c r="O275" s="45"/>
      <c r="P275" s="98">
        <f t="shared" si="61"/>
        <v>-1731.1000000000004</v>
      </c>
      <c r="Q275" s="98">
        <f t="shared" si="62"/>
        <v>-1731.1000000000004</v>
      </c>
      <c r="R275" s="98">
        <f t="shared" si="63"/>
        <v>0</v>
      </c>
      <c r="S275" s="98">
        <f t="shared" si="64"/>
        <v>2500</v>
      </c>
      <c r="T275" s="98">
        <f t="shared" si="65"/>
        <v>2500</v>
      </c>
      <c r="U275" s="98">
        <f t="shared" si="66"/>
        <v>0</v>
      </c>
      <c r="V275" s="98">
        <f t="shared" si="67"/>
        <v>2500</v>
      </c>
      <c r="W275" s="98">
        <f t="shared" si="68"/>
        <v>2500</v>
      </c>
      <c r="X275" s="98">
        <f t="shared" si="69"/>
        <v>0</v>
      </c>
      <c r="Y275" s="104"/>
      <c r="Z275" s="105"/>
    </row>
    <row r="276" spans="1:26" ht="12.75" customHeight="1">
      <c r="A276" s="12"/>
      <c r="B276" s="14"/>
      <c r="C276" s="14"/>
      <c r="D276" s="102"/>
      <c r="E276" s="13" t="s">
        <v>394</v>
      </c>
      <c r="F276" s="26">
        <v>4214</v>
      </c>
      <c r="G276" s="98">
        <f t="shared" si="58"/>
        <v>130</v>
      </c>
      <c r="H276" s="45">
        <v>130</v>
      </c>
      <c r="I276" s="45"/>
      <c r="J276" s="98">
        <f t="shared" si="71"/>
        <v>172.7</v>
      </c>
      <c r="K276" s="54">
        <f>120+43.2+3.5+6</f>
        <v>172.7</v>
      </c>
      <c r="L276" s="54"/>
      <c r="M276" s="98">
        <f t="shared" si="72"/>
        <v>120</v>
      </c>
      <c r="N276" s="45">
        <v>120</v>
      </c>
      <c r="O276" s="45"/>
      <c r="P276" s="98">
        <f t="shared" si="61"/>
        <v>-52.69999999999999</v>
      </c>
      <c r="Q276" s="98">
        <f t="shared" si="62"/>
        <v>-52.69999999999999</v>
      </c>
      <c r="R276" s="98">
        <f t="shared" si="63"/>
        <v>0</v>
      </c>
      <c r="S276" s="98">
        <f t="shared" si="64"/>
        <v>120</v>
      </c>
      <c r="T276" s="98">
        <f t="shared" si="65"/>
        <v>120</v>
      </c>
      <c r="U276" s="98">
        <f t="shared" si="66"/>
        <v>0</v>
      </c>
      <c r="V276" s="98">
        <f t="shared" si="67"/>
        <v>120</v>
      </c>
      <c r="W276" s="98">
        <f t="shared" si="68"/>
        <v>120</v>
      </c>
      <c r="X276" s="98">
        <f t="shared" si="69"/>
        <v>0</v>
      </c>
      <c r="Y276" s="104"/>
      <c r="Z276" s="105"/>
    </row>
    <row r="277" spans="1:26" ht="12.75" customHeight="1">
      <c r="A277" s="12"/>
      <c r="B277" s="14"/>
      <c r="C277" s="14"/>
      <c r="D277" s="102"/>
      <c r="E277" s="13" t="s">
        <v>420</v>
      </c>
      <c r="F277" s="26">
        <v>4239</v>
      </c>
      <c r="G277" s="98">
        <f t="shared" si="58"/>
        <v>183.3</v>
      </c>
      <c r="H277" s="45">
        <v>183.3</v>
      </c>
      <c r="I277" s="45"/>
      <c r="J277" s="98">
        <f t="shared" si="71"/>
        <v>300</v>
      </c>
      <c r="K277" s="54">
        <v>300</v>
      </c>
      <c r="L277" s="54"/>
      <c r="M277" s="98">
        <f t="shared" si="72"/>
        <v>8300</v>
      </c>
      <c r="N277" s="45">
        <v>8300</v>
      </c>
      <c r="O277" s="45"/>
      <c r="P277" s="98">
        <f t="shared" si="61"/>
        <v>8000</v>
      </c>
      <c r="Q277" s="98">
        <f t="shared" si="62"/>
        <v>8000</v>
      </c>
      <c r="R277" s="98">
        <f t="shared" si="63"/>
        <v>0</v>
      </c>
      <c r="S277" s="98">
        <f t="shared" si="64"/>
        <v>8300</v>
      </c>
      <c r="T277" s="98">
        <f t="shared" si="65"/>
        <v>8300</v>
      </c>
      <c r="U277" s="98">
        <f t="shared" si="66"/>
        <v>0</v>
      </c>
      <c r="V277" s="98">
        <f t="shared" si="67"/>
        <v>8300</v>
      </c>
      <c r="W277" s="98">
        <f t="shared" si="68"/>
        <v>8300</v>
      </c>
      <c r="X277" s="98">
        <f t="shared" si="69"/>
        <v>0</v>
      </c>
      <c r="Y277" s="104"/>
      <c r="Z277" s="105"/>
    </row>
    <row r="278" spans="1:26" ht="12.75" customHeight="1">
      <c r="A278" s="12"/>
      <c r="B278" s="14"/>
      <c r="C278" s="14"/>
      <c r="D278" s="102"/>
      <c r="E278" s="13" t="s">
        <v>425</v>
      </c>
      <c r="F278" s="26">
        <v>4241</v>
      </c>
      <c r="G278" s="98">
        <f t="shared" si="58"/>
        <v>248.1</v>
      </c>
      <c r="H278" s="45">
        <v>248.1</v>
      </c>
      <c r="I278" s="45"/>
      <c r="J278" s="98">
        <f t="shared" si="71"/>
        <v>300</v>
      </c>
      <c r="K278" s="54">
        <v>300</v>
      </c>
      <c r="L278" s="54"/>
      <c r="M278" s="98">
        <f t="shared" si="72"/>
        <v>300</v>
      </c>
      <c r="N278" s="45">
        <v>300</v>
      </c>
      <c r="O278" s="45"/>
      <c r="P278" s="98">
        <f t="shared" si="61"/>
        <v>0</v>
      </c>
      <c r="Q278" s="98">
        <f t="shared" si="62"/>
        <v>0</v>
      </c>
      <c r="R278" s="98">
        <f t="shared" si="63"/>
        <v>0</v>
      </c>
      <c r="S278" s="98">
        <f t="shared" si="64"/>
        <v>300</v>
      </c>
      <c r="T278" s="98">
        <f t="shared" si="65"/>
        <v>300</v>
      </c>
      <c r="U278" s="98">
        <f t="shared" si="66"/>
        <v>0</v>
      </c>
      <c r="V278" s="98">
        <f t="shared" si="67"/>
        <v>300</v>
      </c>
      <c r="W278" s="98">
        <f t="shared" si="68"/>
        <v>300</v>
      </c>
      <c r="X278" s="98">
        <f t="shared" si="69"/>
        <v>0</v>
      </c>
      <c r="Y278" s="104"/>
      <c r="Z278" s="105"/>
    </row>
    <row r="279" spans="1:26" ht="12.75" customHeight="1">
      <c r="A279" s="12"/>
      <c r="B279" s="14"/>
      <c r="C279" s="14"/>
      <c r="D279" s="102"/>
      <c r="E279" s="13" t="s">
        <v>435</v>
      </c>
      <c r="F279" s="26">
        <v>4261</v>
      </c>
      <c r="G279" s="98">
        <f t="shared" si="58"/>
        <v>170</v>
      </c>
      <c r="H279" s="45">
        <v>170</v>
      </c>
      <c r="I279" s="45"/>
      <c r="J279" s="98">
        <f t="shared" si="71"/>
        <v>170</v>
      </c>
      <c r="K279" s="54">
        <v>170</v>
      </c>
      <c r="L279" s="54"/>
      <c r="M279" s="98">
        <f t="shared" si="72"/>
        <v>170</v>
      </c>
      <c r="N279" s="45">
        <v>170</v>
      </c>
      <c r="O279" s="45"/>
      <c r="P279" s="98">
        <f t="shared" si="61"/>
        <v>0</v>
      </c>
      <c r="Q279" s="98">
        <f t="shared" si="62"/>
        <v>0</v>
      </c>
      <c r="R279" s="98">
        <f t="shared" si="63"/>
        <v>0</v>
      </c>
      <c r="S279" s="98">
        <f t="shared" si="64"/>
        <v>170</v>
      </c>
      <c r="T279" s="98">
        <f t="shared" si="65"/>
        <v>170</v>
      </c>
      <c r="U279" s="98">
        <f t="shared" si="66"/>
        <v>0</v>
      </c>
      <c r="V279" s="98">
        <f t="shared" si="67"/>
        <v>170</v>
      </c>
      <c r="W279" s="98">
        <f t="shared" si="68"/>
        <v>170</v>
      </c>
      <c r="X279" s="98">
        <f t="shared" si="69"/>
        <v>0</v>
      </c>
      <c r="Y279" s="104"/>
      <c r="Z279" s="105"/>
    </row>
    <row r="280" spans="1:26" ht="12.75" customHeight="1">
      <c r="A280" s="12"/>
      <c r="B280" s="14"/>
      <c r="C280" s="14"/>
      <c r="D280" s="102"/>
      <c r="E280" s="15" t="s">
        <v>500</v>
      </c>
      <c r="F280" s="26">
        <v>4823</v>
      </c>
      <c r="G280" s="98">
        <f t="shared" si="58"/>
        <v>6</v>
      </c>
      <c r="H280" s="45">
        <v>6</v>
      </c>
      <c r="I280" s="45"/>
      <c r="J280" s="98">
        <f t="shared" si="71"/>
        <v>10</v>
      </c>
      <c r="K280" s="54">
        <v>10</v>
      </c>
      <c r="L280" s="54"/>
      <c r="M280" s="98">
        <f t="shared" si="72"/>
        <v>10</v>
      </c>
      <c r="N280" s="45">
        <v>10</v>
      </c>
      <c r="O280" s="45"/>
      <c r="P280" s="98">
        <f t="shared" si="61"/>
        <v>0</v>
      </c>
      <c r="Q280" s="98">
        <f t="shared" si="62"/>
        <v>0</v>
      </c>
      <c r="R280" s="98">
        <f t="shared" si="63"/>
        <v>0</v>
      </c>
      <c r="S280" s="98">
        <f t="shared" si="64"/>
        <v>10</v>
      </c>
      <c r="T280" s="98">
        <f t="shared" si="65"/>
        <v>10</v>
      </c>
      <c r="U280" s="98">
        <f t="shared" si="66"/>
        <v>0</v>
      </c>
      <c r="V280" s="98">
        <f t="shared" si="67"/>
        <v>10</v>
      </c>
      <c r="W280" s="98">
        <f t="shared" si="68"/>
        <v>10</v>
      </c>
      <c r="X280" s="98">
        <f t="shared" si="69"/>
        <v>0</v>
      </c>
      <c r="Y280" s="104"/>
      <c r="Z280" s="105"/>
    </row>
    <row r="281" spans="1:26" ht="12.75" customHeight="1">
      <c r="A281" s="12"/>
      <c r="B281" s="14"/>
      <c r="C281" s="14"/>
      <c r="D281" s="102"/>
      <c r="E281" s="15" t="s">
        <v>726</v>
      </c>
      <c r="F281" s="26">
        <v>5111</v>
      </c>
      <c r="G281" s="98">
        <f t="shared" si="58"/>
        <v>11000</v>
      </c>
      <c r="H281" s="45"/>
      <c r="I281" s="45">
        <v>11000</v>
      </c>
      <c r="J281" s="98"/>
      <c r="K281" s="54"/>
      <c r="L281" s="54"/>
      <c r="M281" s="98"/>
      <c r="N281" s="45"/>
      <c r="O281" s="45"/>
      <c r="P281" s="98">
        <f t="shared" si="61"/>
        <v>0</v>
      </c>
      <c r="Q281" s="98">
        <f t="shared" si="62"/>
        <v>0</v>
      </c>
      <c r="R281" s="98">
        <f t="shared" si="63"/>
        <v>0</v>
      </c>
      <c r="S281" s="98">
        <f t="shared" si="64"/>
        <v>0</v>
      </c>
      <c r="T281" s="98">
        <f t="shared" si="65"/>
        <v>0</v>
      </c>
      <c r="U281" s="98">
        <f t="shared" si="66"/>
        <v>0</v>
      </c>
      <c r="V281" s="98">
        <f t="shared" si="67"/>
        <v>0</v>
      </c>
      <c r="W281" s="98">
        <f t="shared" si="68"/>
        <v>0</v>
      </c>
      <c r="X281" s="98">
        <f t="shared" si="69"/>
        <v>0</v>
      </c>
      <c r="Y281" s="104"/>
      <c r="Z281" s="105"/>
    </row>
    <row r="282" spans="1:26" ht="22.5" customHeight="1">
      <c r="A282" s="12"/>
      <c r="B282" s="14"/>
      <c r="C282" s="14"/>
      <c r="D282" s="102"/>
      <c r="E282" s="106" t="s">
        <v>650</v>
      </c>
      <c r="F282" s="26"/>
      <c r="G282" s="98">
        <f t="shared" si="58"/>
        <v>6280</v>
      </c>
      <c r="H282" s="54">
        <f aca="true" t="shared" si="73" ref="H282:X282">+H283</f>
        <v>6280</v>
      </c>
      <c r="I282" s="54">
        <f t="shared" si="73"/>
        <v>0</v>
      </c>
      <c r="J282" s="98">
        <f t="shared" si="71"/>
        <v>24500</v>
      </c>
      <c r="K282" s="54">
        <f t="shared" si="73"/>
        <v>24500</v>
      </c>
      <c r="L282" s="54">
        <f t="shared" si="73"/>
        <v>0</v>
      </c>
      <c r="M282" s="98">
        <f t="shared" si="72"/>
        <v>24500</v>
      </c>
      <c r="N282" s="54">
        <f t="shared" si="73"/>
        <v>24500</v>
      </c>
      <c r="O282" s="54">
        <f t="shared" si="73"/>
        <v>0</v>
      </c>
      <c r="P282" s="98">
        <f t="shared" si="61"/>
        <v>0</v>
      </c>
      <c r="Q282" s="98">
        <f t="shared" si="62"/>
        <v>0</v>
      </c>
      <c r="R282" s="98">
        <f t="shared" si="63"/>
        <v>0</v>
      </c>
      <c r="S282" s="98">
        <f t="shared" si="64"/>
        <v>24500</v>
      </c>
      <c r="T282" s="98">
        <f t="shared" si="65"/>
        <v>24500</v>
      </c>
      <c r="U282" s="98">
        <f t="shared" si="66"/>
        <v>0</v>
      </c>
      <c r="V282" s="98">
        <f t="shared" si="67"/>
        <v>24500</v>
      </c>
      <c r="W282" s="98">
        <f t="shared" si="68"/>
        <v>24500</v>
      </c>
      <c r="X282" s="98">
        <f t="shared" si="69"/>
        <v>0</v>
      </c>
      <c r="Y282" s="104"/>
      <c r="Z282" s="105"/>
    </row>
    <row r="283" spans="1:26" ht="12.75" customHeight="1">
      <c r="A283" s="12"/>
      <c r="B283" s="14"/>
      <c r="C283" s="14"/>
      <c r="D283" s="102"/>
      <c r="E283" s="13" t="s">
        <v>455</v>
      </c>
      <c r="F283" s="26">
        <v>4511</v>
      </c>
      <c r="G283" s="98">
        <f t="shared" si="58"/>
        <v>6280</v>
      </c>
      <c r="H283" s="45">
        <v>6280</v>
      </c>
      <c r="I283" s="45"/>
      <c r="J283" s="98">
        <f t="shared" si="71"/>
        <v>24500</v>
      </c>
      <c r="K283" s="54">
        <v>24500</v>
      </c>
      <c r="L283" s="54"/>
      <c r="M283" s="98">
        <f t="shared" si="72"/>
        <v>24500</v>
      </c>
      <c r="N283" s="45">
        <v>24500</v>
      </c>
      <c r="O283" s="45"/>
      <c r="P283" s="98">
        <f t="shared" si="61"/>
        <v>0</v>
      </c>
      <c r="Q283" s="98">
        <f t="shared" si="62"/>
        <v>0</v>
      </c>
      <c r="R283" s="98">
        <f t="shared" si="63"/>
        <v>0</v>
      </c>
      <c r="S283" s="98">
        <f t="shared" si="64"/>
        <v>24500</v>
      </c>
      <c r="T283" s="98">
        <f t="shared" si="65"/>
        <v>24500</v>
      </c>
      <c r="U283" s="98">
        <f t="shared" si="66"/>
        <v>0</v>
      </c>
      <c r="V283" s="98">
        <f t="shared" si="67"/>
        <v>24500</v>
      </c>
      <c r="W283" s="98">
        <f t="shared" si="68"/>
        <v>24500</v>
      </c>
      <c r="X283" s="98">
        <f t="shared" si="69"/>
        <v>0</v>
      </c>
      <c r="Y283" s="104"/>
      <c r="Z283" s="105"/>
    </row>
    <row r="284" spans="1:26" ht="12.75" customHeight="1">
      <c r="A284" s="12"/>
      <c r="B284" s="14"/>
      <c r="C284" s="14"/>
      <c r="D284" s="102"/>
      <c r="E284" s="106" t="s">
        <v>651</v>
      </c>
      <c r="F284" s="26"/>
      <c r="G284" s="98">
        <f t="shared" si="58"/>
        <v>19953.2</v>
      </c>
      <c r="H284" s="54">
        <f aca="true" t="shared" si="74" ref="H284:X284">+H285</f>
        <v>19953.2</v>
      </c>
      <c r="I284" s="54">
        <f t="shared" si="74"/>
        <v>0</v>
      </c>
      <c r="J284" s="98">
        <f t="shared" si="71"/>
        <v>30500</v>
      </c>
      <c r="K284" s="54">
        <f t="shared" si="74"/>
        <v>30500</v>
      </c>
      <c r="L284" s="54">
        <f t="shared" si="74"/>
        <v>0</v>
      </c>
      <c r="M284" s="98">
        <f t="shared" si="72"/>
        <v>31000</v>
      </c>
      <c r="N284" s="54">
        <f t="shared" si="74"/>
        <v>31000</v>
      </c>
      <c r="O284" s="54">
        <f t="shared" si="74"/>
        <v>0</v>
      </c>
      <c r="P284" s="98">
        <f t="shared" si="61"/>
        <v>500</v>
      </c>
      <c r="Q284" s="98">
        <f t="shared" si="62"/>
        <v>500</v>
      </c>
      <c r="R284" s="98">
        <f t="shared" si="63"/>
        <v>0</v>
      </c>
      <c r="S284" s="98">
        <f t="shared" si="64"/>
        <v>31000</v>
      </c>
      <c r="T284" s="98">
        <f t="shared" si="65"/>
        <v>31000</v>
      </c>
      <c r="U284" s="98">
        <f t="shared" si="66"/>
        <v>0</v>
      </c>
      <c r="V284" s="98">
        <f t="shared" si="67"/>
        <v>31000</v>
      </c>
      <c r="W284" s="98">
        <f t="shared" si="68"/>
        <v>31000</v>
      </c>
      <c r="X284" s="98">
        <f t="shared" si="69"/>
        <v>0</v>
      </c>
      <c r="Y284" s="104"/>
      <c r="Z284" s="105"/>
    </row>
    <row r="285" spans="1:26" ht="12.75" customHeight="1">
      <c r="A285" s="12"/>
      <c r="B285" s="14"/>
      <c r="C285" s="14"/>
      <c r="D285" s="102"/>
      <c r="E285" s="13" t="s">
        <v>455</v>
      </c>
      <c r="F285" s="26">
        <v>4511</v>
      </c>
      <c r="G285" s="98">
        <f t="shared" si="58"/>
        <v>19953.2</v>
      </c>
      <c r="H285" s="45">
        <v>19953.2</v>
      </c>
      <c r="I285" s="45"/>
      <c r="J285" s="98">
        <f t="shared" si="71"/>
        <v>30500</v>
      </c>
      <c r="K285" s="54">
        <v>30500</v>
      </c>
      <c r="L285" s="54"/>
      <c r="M285" s="98">
        <f t="shared" si="72"/>
        <v>31000</v>
      </c>
      <c r="N285" s="45">
        <v>31000</v>
      </c>
      <c r="O285" s="45"/>
      <c r="P285" s="98">
        <f t="shared" si="61"/>
        <v>500</v>
      </c>
      <c r="Q285" s="98">
        <f t="shared" si="62"/>
        <v>500</v>
      </c>
      <c r="R285" s="98">
        <f t="shared" si="63"/>
        <v>0</v>
      </c>
      <c r="S285" s="98">
        <f t="shared" si="64"/>
        <v>31000</v>
      </c>
      <c r="T285" s="98">
        <f t="shared" si="65"/>
        <v>31000</v>
      </c>
      <c r="U285" s="98">
        <f t="shared" si="66"/>
        <v>0</v>
      </c>
      <c r="V285" s="98">
        <f t="shared" si="67"/>
        <v>31000</v>
      </c>
      <c r="W285" s="98">
        <f t="shared" si="68"/>
        <v>31000</v>
      </c>
      <c r="X285" s="98">
        <f t="shared" si="69"/>
        <v>0</v>
      </c>
      <c r="Y285" s="104"/>
      <c r="Z285" s="105"/>
    </row>
    <row r="286" spans="1:26" ht="12.75" customHeight="1">
      <c r="A286" s="12"/>
      <c r="B286" s="14"/>
      <c r="C286" s="14"/>
      <c r="D286" s="102"/>
      <c r="E286" s="106" t="s">
        <v>737</v>
      </c>
      <c r="F286" s="26"/>
      <c r="G286" s="98">
        <f t="shared" si="58"/>
        <v>75634.3</v>
      </c>
      <c r="H286" s="54">
        <f>+H287</f>
        <v>29558.4</v>
      </c>
      <c r="I286" s="54">
        <f>+I288+I289+I290</f>
        <v>46075.9</v>
      </c>
      <c r="J286" s="98">
        <f t="shared" si="71"/>
        <v>18869.7</v>
      </c>
      <c r="K286" s="54">
        <f>+K289+K290</f>
        <v>0</v>
      </c>
      <c r="L286" s="54">
        <f>+L289+L290</f>
        <v>18869.7</v>
      </c>
      <c r="M286" s="98">
        <f t="shared" si="72"/>
        <v>0</v>
      </c>
      <c r="N286" s="54">
        <f>+N287</f>
        <v>0</v>
      </c>
      <c r="O286" s="54">
        <f>+O288+O289+O290</f>
        <v>0</v>
      </c>
      <c r="P286" s="98">
        <f t="shared" si="61"/>
        <v>-18869.7</v>
      </c>
      <c r="Q286" s="98">
        <f t="shared" si="62"/>
        <v>0</v>
      </c>
      <c r="R286" s="98">
        <f t="shared" si="63"/>
        <v>-18869.7</v>
      </c>
      <c r="S286" s="98">
        <f t="shared" si="64"/>
        <v>0</v>
      </c>
      <c r="T286" s="98">
        <f t="shared" si="65"/>
        <v>0</v>
      </c>
      <c r="U286" s="98">
        <f t="shared" si="66"/>
        <v>0</v>
      </c>
      <c r="V286" s="98">
        <f t="shared" si="67"/>
        <v>0</v>
      </c>
      <c r="W286" s="98">
        <f t="shared" si="68"/>
        <v>0</v>
      </c>
      <c r="X286" s="98">
        <f t="shared" si="69"/>
        <v>0</v>
      </c>
      <c r="Y286" s="104"/>
      <c r="Z286" s="105"/>
    </row>
    <row r="287" spans="1:26" ht="12.75" customHeight="1">
      <c r="A287" s="12"/>
      <c r="B287" s="14"/>
      <c r="C287" s="14"/>
      <c r="D287" s="102"/>
      <c r="E287" s="13" t="s">
        <v>420</v>
      </c>
      <c r="F287" s="26">
        <v>4239</v>
      </c>
      <c r="G287" s="98">
        <f t="shared" si="58"/>
        <v>29558.4</v>
      </c>
      <c r="H287" s="54">
        <v>29558.4</v>
      </c>
      <c r="I287" s="54"/>
      <c r="J287" s="98"/>
      <c r="K287" s="54"/>
      <c r="L287" s="54"/>
      <c r="M287" s="98"/>
      <c r="N287" s="54"/>
      <c r="O287" s="54"/>
      <c r="P287" s="98">
        <f t="shared" si="61"/>
        <v>0</v>
      </c>
      <c r="Q287" s="98">
        <f t="shared" si="62"/>
        <v>0</v>
      </c>
      <c r="R287" s="98">
        <f t="shared" si="63"/>
        <v>0</v>
      </c>
      <c r="S287" s="98">
        <f t="shared" si="64"/>
        <v>0</v>
      </c>
      <c r="T287" s="98">
        <f t="shared" si="65"/>
        <v>0</v>
      </c>
      <c r="U287" s="98">
        <f t="shared" si="66"/>
        <v>0</v>
      </c>
      <c r="V287" s="98">
        <f t="shared" si="67"/>
        <v>0</v>
      </c>
      <c r="W287" s="98">
        <f t="shared" si="68"/>
        <v>0</v>
      </c>
      <c r="X287" s="98">
        <f t="shared" si="69"/>
        <v>0</v>
      </c>
      <c r="Y287" s="104"/>
      <c r="Z287" s="105"/>
    </row>
    <row r="288" spans="1:26" ht="12.75" customHeight="1">
      <c r="A288" s="12"/>
      <c r="B288" s="14"/>
      <c r="C288" s="14"/>
      <c r="D288" s="102"/>
      <c r="E288" s="13" t="s">
        <v>521</v>
      </c>
      <c r="F288" s="26">
        <v>5112</v>
      </c>
      <c r="G288" s="98">
        <f t="shared" si="58"/>
        <v>32549.2</v>
      </c>
      <c r="H288" s="54"/>
      <c r="I288" s="54">
        <v>32549.2</v>
      </c>
      <c r="J288" s="98"/>
      <c r="K288" s="54"/>
      <c r="L288" s="54"/>
      <c r="M288" s="98"/>
      <c r="N288" s="54"/>
      <c r="O288" s="54"/>
      <c r="P288" s="98">
        <f t="shared" si="61"/>
        <v>0</v>
      </c>
      <c r="Q288" s="98">
        <f t="shared" si="62"/>
        <v>0</v>
      </c>
      <c r="R288" s="98">
        <f t="shared" si="63"/>
        <v>0</v>
      </c>
      <c r="S288" s="98">
        <f t="shared" si="64"/>
        <v>0</v>
      </c>
      <c r="T288" s="98">
        <f t="shared" si="65"/>
        <v>0</v>
      </c>
      <c r="U288" s="98">
        <f t="shared" si="66"/>
        <v>0</v>
      </c>
      <c r="V288" s="98">
        <f t="shared" si="67"/>
        <v>0</v>
      </c>
      <c r="W288" s="98">
        <f t="shared" si="68"/>
        <v>0</v>
      </c>
      <c r="X288" s="98">
        <f t="shared" si="69"/>
        <v>0</v>
      </c>
      <c r="Y288" s="104"/>
      <c r="Z288" s="105"/>
    </row>
    <row r="289" spans="1:26" ht="12.75" customHeight="1">
      <c r="A289" s="12"/>
      <c r="B289" s="14"/>
      <c r="C289" s="14"/>
      <c r="D289" s="102"/>
      <c r="E289" s="13" t="s">
        <v>523</v>
      </c>
      <c r="F289" s="26">
        <v>5113</v>
      </c>
      <c r="G289" s="98">
        <f t="shared" si="58"/>
        <v>13207.3</v>
      </c>
      <c r="H289" s="45"/>
      <c r="I289" s="45">
        <v>13207.3</v>
      </c>
      <c r="J289" s="98">
        <f t="shared" si="71"/>
        <v>18632.7</v>
      </c>
      <c r="K289" s="54"/>
      <c r="L289" s="54">
        <f>17998.7+634</f>
        <v>18632.7</v>
      </c>
      <c r="M289" s="98">
        <f t="shared" si="72"/>
        <v>0</v>
      </c>
      <c r="N289" s="45"/>
      <c r="O289" s="45"/>
      <c r="P289" s="98">
        <f t="shared" si="61"/>
        <v>-18632.7</v>
      </c>
      <c r="Q289" s="98">
        <f t="shared" si="62"/>
        <v>0</v>
      </c>
      <c r="R289" s="98">
        <f t="shared" si="63"/>
        <v>-18632.7</v>
      </c>
      <c r="S289" s="98">
        <f t="shared" si="64"/>
        <v>0</v>
      </c>
      <c r="T289" s="98">
        <f t="shared" si="65"/>
        <v>0</v>
      </c>
      <c r="U289" s="98">
        <f t="shared" si="66"/>
        <v>0</v>
      </c>
      <c r="V289" s="98">
        <f t="shared" si="67"/>
        <v>0</v>
      </c>
      <c r="W289" s="98">
        <f t="shared" si="68"/>
        <v>0</v>
      </c>
      <c r="X289" s="98">
        <f t="shared" si="69"/>
        <v>0</v>
      </c>
      <c r="Y289" s="104"/>
      <c r="Z289" s="105"/>
    </row>
    <row r="290" spans="1:26" ht="12.75" customHeight="1">
      <c r="A290" s="12"/>
      <c r="B290" s="14"/>
      <c r="C290" s="14"/>
      <c r="D290" s="102"/>
      <c r="E290" s="13" t="s">
        <v>538</v>
      </c>
      <c r="F290" s="26">
        <v>5134</v>
      </c>
      <c r="G290" s="98">
        <f t="shared" si="58"/>
        <v>319.4</v>
      </c>
      <c r="H290" s="45"/>
      <c r="I290" s="45">
        <v>319.4</v>
      </c>
      <c r="J290" s="98">
        <f t="shared" si="71"/>
        <v>237</v>
      </c>
      <c r="K290" s="54"/>
      <c r="L290" s="54">
        <v>237</v>
      </c>
      <c r="M290" s="98">
        <f t="shared" si="72"/>
        <v>0</v>
      </c>
      <c r="N290" s="45"/>
      <c r="O290" s="45"/>
      <c r="P290" s="98">
        <f t="shared" si="61"/>
        <v>-237</v>
      </c>
      <c r="Q290" s="98">
        <f t="shared" si="62"/>
        <v>0</v>
      </c>
      <c r="R290" s="98">
        <f t="shared" si="63"/>
        <v>-237</v>
      </c>
      <c r="S290" s="98">
        <f t="shared" si="64"/>
        <v>0</v>
      </c>
      <c r="T290" s="98">
        <f t="shared" si="65"/>
        <v>0</v>
      </c>
      <c r="U290" s="98">
        <f t="shared" si="66"/>
        <v>0</v>
      </c>
      <c r="V290" s="98">
        <f t="shared" si="67"/>
        <v>0</v>
      </c>
      <c r="W290" s="98">
        <f t="shared" si="68"/>
        <v>0</v>
      </c>
      <c r="X290" s="98">
        <f t="shared" si="69"/>
        <v>0</v>
      </c>
      <c r="Y290" s="104"/>
      <c r="Z290" s="105"/>
    </row>
    <row r="291" spans="1:26" ht="12.75" customHeight="1">
      <c r="A291" s="25" t="s">
        <v>314</v>
      </c>
      <c r="B291" s="26" t="s">
        <v>301</v>
      </c>
      <c r="C291" s="26" t="s">
        <v>221</v>
      </c>
      <c r="D291" s="26" t="s">
        <v>237</v>
      </c>
      <c r="E291" s="103" t="s">
        <v>315</v>
      </c>
      <c r="F291" s="102"/>
      <c r="G291" s="98">
        <f t="shared" si="58"/>
        <v>9912.4</v>
      </c>
      <c r="H291" s="54">
        <f>+H293</f>
        <v>8876.8</v>
      </c>
      <c r="I291" s="54">
        <f>+I293</f>
        <v>1035.6</v>
      </c>
      <c r="J291" s="98">
        <f t="shared" si="71"/>
        <v>10000</v>
      </c>
      <c r="K291" s="54">
        <f>+K293</f>
        <v>10000</v>
      </c>
      <c r="L291" s="54">
        <f>+L293</f>
        <v>0</v>
      </c>
      <c r="M291" s="98">
        <f t="shared" si="72"/>
        <v>0</v>
      </c>
      <c r="N291" s="54">
        <f>+N293</f>
        <v>0</v>
      </c>
      <c r="O291" s="54">
        <f>+O293</f>
        <v>0</v>
      </c>
      <c r="P291" s="98">
        <f t="shared" si="61"/>
        <v>-10000</v>
      </c>
      <c r="Q291" s="98">
        <f t="shared" si="62"/>
        <v>-10000</v>
      </c>
      <c r="R291" s="98">
        <f t="shared" si="63"/>
        <v>0</v>
      </c>
      <c r="S291" s="98">
        <f t="shared" si="64"/>
        <v>0</v>
      </c>
      <c r="T291" s="98">
        <f t="shared" si="65"/>
        <v>0</v>
      </c>
      <c r="U291" s="98">
        <f t="shared" si="66"/>
        <v>0</v>
      </c>
      <c r="V291" s="98">
        <f t="shared" si="67"/>
        <v>0</v>
      </c>
      <c r="W291" s="98">
        <f t="shared" si="68"/>
        <v>0</v>
      </c>
      <c r="X291" s="98">
        <f t="shared" si="69"/>
        <v>0</v>
      </c>
      <c r="Y291" s="104"/>
      <c r="Z291" s="105"/>
    </row>
    <row r="292" spans="1:26" ht="12.75" customHeight="1">
      <c r="A292" s="12"/>
      <c r="B292" s="14"/>
      <c r="C292" s="14"/>
      <c r="D292" s="102"/>
      <c r="E292" s="103" t="s">
        <v>5</v>
      </c>
      <c r="F292" s="102"/>
      <c r="G292" s="98">
        <f t="shared" si="58"/>
        <v>0</v>
      </c>
      <c r="H292" s="45"/>
      <c r="I292" s="45"/>
      <c r="J292" s="98">
        <f t="shared" si="71"/>
        <v>0</v>
      </c>
      <c r="K292" s="54"/>
      <c r="L292" s="54"/>
      <c r="M292" s="98">
        <f t="shared" si="72"/>
        <v>0</v>
      </c>
      <c r="N292" s="45"/>
      <c r="O292" s="45"/>
      <c r="P292" s="98">
        <f t="shared" si="61"/>
        <v>0</v>
      </c>
      <c r="Q292" s="98">
        <f t="shared" si="62"/>
        <v>0</v>
      </c>
      <c r="R292" s="98">
        <f t="shared" si="63"/>
        <v>0</v>
      </c>
      <c r="S292" s="98">
        <f t="shared" si="64"/>
        <v>0</v>
      </c>
      <c r="T292" s="98">
        <f t="shared" si="65"/>
        <v>0</v>
      </c>
      <c r="U292" s="98">
        <f t="shared" si="66"/>
        <v>0</v>
      </c>
      <c r="V292" s="98">
        <f t="shared" si="67"/>
        <v>0</v>
      </c>
      <c r="W292" s="98">
        <f t="shared" si="68"/>
        <v>0</v>
      </c>
      <c r="X292" s="98">
        <f t="shared" si="69"/>
        <v>0</v>
      </c>
      <c r="Y292" s="104"/>
      <c r="Z292" s="105"/>
    </row>
    <row r="293" spans="1:26" s="101" customFormat="1" ht="30" customHeight="1">
      <c r="A293" s="5"/>
      <c r="B293" s="6"/>
      <c r="C293" s="6"/>
      <c r="D293" s="82"/>
      <c r="E293" s="106" t="s">
        <v>738</v>
      </c>
      <c r="F293" s="110"/>
      <c r="G293" s="98">
        <f t="shared" si="58"/>
        <v>9912.4</v>
      </c>
      <c r="H293" s="111">
        <f aca="true" t="shared" si="75" ref="H293:X293">+H294</f>
        <v>8876.8</v>
      </c>
      <c r="I293" s="111">
        <f>+I295</f>
        <v>1035.6</v>
      </c>
      <c r="J293" s="98">
        <f t="shared" si="71"/>
        <v>10000</v>
      </c>
      <c r="K293" s="111">
        <f t="shared" si="75"/>
        <v>10000</v>
      </c>
      <c r="L293" s="111">
        <f t="shared" si="75"/>
        <v>0</v>
      </c>
      <c r="M293" s="98">
        <f t="shared" si="72"/>
        <v>0</v>
      </c>
      <c r="N293" s="111">
        <f t="shared" si="75"/>
        <v>0</v>
      </c>
      <c r="O293" s="111">
        <f>+O295</f>
        <v>0</v>
      </c>
      <c r="P293" s="98">
        <f t="shared" si="61"/>
        <v>-10000</v>
      </c>
      <c r="Q293" s="98">
        <f t="shared" si="62"/>
        <v>-10000</v>
      </c>
      <c r="R293" s="98">
        <f t="shared" si="63"/>
        <v>0</v>
      </c>
      <c r="S293" s="98">
        <f t="shared" si="64"/>
        <v>0</v>
      </c>
      <c r="T293" s="98">
        <f t="shared" si="65"/>
        <v>0</v>
      </c>
      <c r="U293" s="98">
        <f t="shared" si="66"/>
        <v>0</v>
      </c>
      <c r="V293" s="98">
        <f t="shared" si="67"/>
        <v>0</v>
      </c>
      <c r="W293" s="98">
        <f t="shared" si="68"/>
        <v>0</v>
      </c>
      <c r="X293" s="98">
        <f t="shared" si="69"/>
        <v>0</v>
      </c>
      <c r="Y293" s="99"/>
      <c r="Z293" s="100"/>
    </row>
    <row r="294" spans="1:26" ht="12.75" customHeight="1">
      <c r="A294" s="12"/>
      <c r="B294" s="14"/>
      <c r="C294" s="14"/>
      <c r="D294" s="102"/>
      <c r="E294" s="103" t="s">
        <v>420</v>
      </c>
      <c r="F294" s="26" t="s">
        <v>421</v>
      </c>
      <c r="G294" s="98">
        <f t="shared" si="58"/>
        <v>8876.8</v>
      </c>
      <c r="H294" s="45">
        <f>3526.2+5350.6</f>
        <v>8876.8</v>
      </c>
      <c r="I294" s="45"/>
      <c r="J294" s="98">
        <f t="shared" si="71"/>
        <v>10000</v>
      </c>
      <c r="K294" s="54">
        <v>10000</v>
      </c>
      <c r="L294" s="54"/>
      <c r="M294" s="98">
        <f t="shared" si="72"/>
        <v>0</v>
      </c>
      <c r="N294" s="45"/>
      <c r="O294" s="45"/>
      <c r="P294" s="98">
        <f t="shared" si="61"/>
        <v>-10000</v>
      </c>
      <c r="Q294" s="98">
        <f t="shared" si="62"/>
        <v>-10000</v>
      </c>
      <c r="R294" s="98">
        <f t="shared" si="63"/>
        <v>0</v>
      </c>
      <c r="S294" s="98">
        <f t="shared" si="64"/>
        <v>0</v>
      </c>
      <c r="T294" s="98">
        <f t="shared" si="65"/>
        <v>0</v>
      </c>
      <c r="U294" s="98">
        <f t="shared" si="66"/>
        <v>0</v>
      </c>
      <c r="V294" s="98">
        <f t="shared" si="67"/>
        <v>0</v>
      </c>
      <c r="W294" s="98">
        <f t="shared" si="68"/>
        <v>0</v>
      </c>
      <c r="X294" s="98">
        <f t="shared" si="69"/>
        <v>0</v>
      </c>
      <c r="Y294" s="104"/>
      <c r="Z294" s="105"/>
    </row>
    <row r="295" spans="1:26" ht="12.75" customHeight="1">
      <c r="A295" s="121"/>
      <c r="B295" s="14"/>
      <c r="C295" s="14"/>
      <c r="D295" s="102"/>
      <c r="E295" s="13" t="s">
        <v>523</v>
      </c>
      <c r="F295" s="26">
        <v>5113</v>
      </c>
      <c r="G295" s="98"/>
      <c r="H295" s="45"/>
      <c r="I295" s="45">
        <v>1035.6</v>
      </c>
      <c r="J295" s="98"/>
      <c r="K295" s="54"/>
      <c r="L295" s="54"/>
      <c r="M295" s="98"/>
      <c r="N295" s="45"/>
      <c r="O295" s="45"/>
      <c r="P295" s="98">
        <f t="shared" si="61"/>
        <v>0</v>
      </c>
      <c r="Q295" s="98">
        <f t="shared" si="62"/>
        <v>0</v>
      </c>
      <c r="R295" s="98">
        <f t="shared" si="63"/>
        <v>0</v>
      </c>
      <c r="S295" s="98">
        <f t="shared" si="64"/>
        <v>0</v>
      </c>
      <c r="T295" s="98">
        <f t="shared" si="65"/>
        <v>0</v>
      </c>
      <c r="U295" s="98">
        <f t="shared" si="66"/>
        <v>0</v>
      </c>
      <c r="V295" s="98">
        <f t="shared" si="67"/>
        <v>0</v>
      </c>
      <c r="W295" s="98">
        <f t="shared" si="68"/>
        <v>0</v>
      </c>
      <c r="X295" s="98">
        <f t="shared" si="69"/>
        <v>0</v>
      </c>
      <c r="Y295" s="104"/>
      <c r="Z295" s="105"/>
    </row>
    <row r="296" spans="1:26" ht="21.75" customHeight="1">
      <c r="A296" s="14">
        <v>2827</v>
      </c>
      <c r="B296" s="119" t="s">
        <v>301</v>
      </c>
      <c r="C296" s="119" t="s">
        <v>218</v>
      </c>
      <c r="D296" s="120" t="s">
        <v>290</v>
      </c>
      <c r="E296" s="106" t="s">
        <v>319</v>
      </c>
      <c r="F296" s="26"/>
      <c r="G296" s="98">
        <f>+H296+I296</f>
        <v>13215.1</v>
      </c>
      <c r="H296" s="45">
        <f>+H297</f>
        <v>968.4</v>
      </c>
      <c r="I296" s="45">
        <f>+I299+I298</f>
        <v>12246.7</v>
      </c>
      <c r="J296" s="98"/>
      <c r="K296" s="54"/>
      <c r="L296" s="54"/>
      <c r="M296" s="98"/>
      <c r="N296" s="45">
        <f>+N297</f>
        <v>0</v>
      </c>
      <c r="O296" s="45">
        <f>+O299+O298</f>
        <v>0</v>
      </c>
      <c r="P296" s="98">
        <f t="shared" si="61"/>
        <v>0</v>
      </c>
      <c r="Q296" s="98">
        <f t="shared" si="62"/>
        <v>0</v>
      </c>
      <c r="R296" s="98">
        <f t="shared" si="63"/>
        <v>0</v>
      </c>
      <c r="S296" s="98">
        <f t="shared" si="64"/>
        <v>0</v>
      </c>
      <c r="T296" s="98">
        <f t="shared" si="65"/>
        <v>0</v>
      </c>
      <c r="U296" s="98">
        <f t="shared" si="66"/>
        <v>0</v>
      </c>
      <c r="V296" s="98">
        <f t="shared" si="67"/>
        <v>0</v>
      </c>
      <c r="W296" s="98">
        <f t="shared" si="68"/>
        <v>0</v>
      </c>
      <c r="X296" s="98">
        <f t="shared" si="69"/>
        <v>0</v>
      </c>
      <c r="Y296" s="104"/>
      <c r="Z296" s="105"/>
    </row>
    <row r="297" spans="1:26" ht="14.25" customHeight="1">
      <c r="A297" s="14"/>
      <c r="B297" s="119"/>
      <c r="C297" s="119"/>
      <c r="D297" s="120"/>
      <c r="E297" s="13" t="s">
        <v>420</v>
      </c>
      <c r="F297" s="26">
        <v>4239</v>
      </c>
      <c r="G297" s="98">
        <f>+H297+I297</f>
        <v>968.4</v>
      </c>
      <c r="H297" s="45">
        <v>968.4</v>
      </c>
      <c r="I297" s="45"/>
      <c r="J297" s="98"/>
      <c r="K297" s="54"/>
      <c r="L297" s="54"/>
      <c r="M297" s="98"/>
      <c r="N297" s="45"/>
      <c r="O297" s="45"/>
      <c r="P297" s="98">
        <f t="shared" si="61"/>
        <v>0</v>
      </c>
      <c r="Q297" s="98">
        <f t="shared" si="62"/>
        <v>0</v>
      </c>
      <c r="R297" s="98">
        <f t="shared" si="63"/>
        <v>0</v>
      </c>
      <c r="S297" s="98">
        <f t="shared" si="64"/>
        <v>0</v>
      </c>
      <c r="T297" s="98">
        <f t="shared" si="65"/>
        <v>0</v>
      </c>
      <c r="U297" s="98">
        <f t="shared" si="66"/>
        <v>0</v>
      </c>
      <c r="V297" s="98">
        <f t="shared" si="67"/>
        <v>0</v>
      </c>
      <c r="W297" s="98">
        <f t="shared" si="68"/>
        <v>0</v>
      </c>
      <c r="X297" s="98">
        <f t="shared" si="69"/>
        <v>0</v>
      </c>
      <c r="Y297" s="104"/>
      <c r="Z297" s="105"/>
    </row>
    <row r="298" spans="1:26" ht="12.75" customHeight="1">
      <c r="A298" s="14"/>
      <c r="B298" s="119"/>
      <c r="C298" s="119"/>
      <c r="D298" s="120"/>
      <c r="E298" s="103" t="s">
        <v>732</v>
      </c>
      <c r="F298" s="26">
        <v>5113</v>
      </c>
      <c r="G298" s="98">
        <f>+H298+I298</f>
        <v>11526.7</v>
      </c>
      <c r="H298" s="45"/>
      <c r="I298" s="45">
        <f>3480+8046.7</f>
        <v>11526.7</v>
      </c>
      <c r="J298" s="98"/>
      <c r="K298" s="54"/>
      <c r="L298" s="54"/>
      <c r="M298" s="98"/>
      <c r="N298" s="45"/>
      <c r="O298" s="45"/>
      <c r="P298" s="98">
        <f t="shared" si="61"/>
        <v>0</v>
      </c>
      <c r="Q298" s="98">
        <f t="shared" si="62"/>
        <v>0</v>
      </c>
      <c r="R298" s="98">
        <f t="shared" si="63"/>
        <v>0</v>
      </c>
      <c r="S298" s="98">
        <f t="shared" si="64"/>
        <v>0</v>
      </c>
      <c r="T298" s="98">
        <f t="shared" si="65"/>
        <v>0</v>
      </c>
      <c r="U298" s="98">
        <f t="shared" si="66"/>
        <v>0</v>
      </c>
      <c r="V298" s="98">
        <f t="shared" si="67"/>
        <v>0</v>
      </c>
      <c r="W298" s="98">
        <f t="shared" si="68"/>
        <v>0</v>
      </c>
      <c r="X298" s="98">
        <f t="shared" si="69"/>
        <v>0</v>
      </c>
      <c r="Y298" s="104"/>
      <c r="Z298" s="105"/>
    </row>
    <row r="299" spans="1:26" ht="12.75" customHeight="1">
      <c r="A299" s="14"/>
      <c r="B299" s="119"/>
      <c r="C299" s="119"/>
      <c r="D299" s="120"/>
      <c r="E299" s="103" t="s">
        <v>677</v>
      </c>
      <c r="F299" s="26">
        <v>5134</v>
      </c>
      <c r="G299" s="98">
        <f>+H299+I299</f>
        <v>720</v>
      </c>
      <c r="H299" s="45"/>
      <c r="I299" s="45">
        <v>720</v>
      </c>
      <c r="J299" s="98"/>
      <c r="K299" s="54"/>
      <c r="L299" s="54"/>
      <c r="M299" s="98"/>
      <c r="N299" s="45"/>
      <c r="O299" s="45"/>
      <c r="P299" s="98">
        <f t="shared" si="61"/>
        <v>0</v>
      </c>
      <c r="Q299" s="98">
        <f t="shared" si="62"/>
        <v>0</v>
      </c>
      <c r="R299" s="98">
        <f t="shared" si="63"/>
        <v>0</v>
      </c>
      <c r="S299" s="98">
        <f t="shared" si="64"/>
        <v>0</v>
      </c>
      <c r="T299" s="98">
        <f t="shared" si="65"/>
        <v>0</v>
      </c>
      <c r="U299" s="98">
        <f t="shared" si="66"/>
        <v>0</v>
      </c>
      <c r="V299" s="98">
        <f t="shared" si="67"/>
        <v>0</v>
      </c>
      <c r="W299" s="98">
        <f t="shared" si="68"/>
        <v>0</v>
      </c>
      <c r="X299" s="98">
        <f t="shared" si="69"/>
        <v>0</v>
      </c>
      <c r="Y299" s="104"/>
      <c r="Z299" s="105"/>
    </row>
    <row r="300" spans="1:26" ht="12.75" customHeight="1">
      <c r="A300" s="59" t="s">
        <v>658</v>
      </c>
      <c r="B300" s="59" t="s">
        <v>629</v>
      </c>
      <c r="C300" s="59" t="s">
        <v>203</v>
      </c>
      <c r="D300" s="59" t="s">
        <v>194</v>
      </c>
      <c r="E300" s="60" t="s">
        <v>659</v>
      </c>
      <c r="F300" s="26"/>
      <c r="G300" s="98">
        <f t="shared" si="58"/>
        <v>1887.6</v>
      </c>
      <c r="H300" s="54">
        <f>+H301+H305</f>
        <v>1887.6</v>
      </c>
      <c r="I300" s="54">
        <f>+I301+I305</f>
        <v>0</v>
      </c>
      <c r="J300" s="98">
        <f t="shared" si="71"/>
        <v>6000</v>
      </c>
      <c r="K300" s="54">
        <f>+K301+K305</f>
        <v>6000</v>
      </c>
      <c r="L300" s="54">
        <f>+L301+L305</f>
        <v>0</v>
      </c>
      <c r="M300" s="98">
        <f t="shared" si="72"/>
        <v>5000</v>
      </c>
      <c r="N300" s="54">
        <f>+N301+N305</f>
        <v>5000</v>
      </c>
      <c r="O300" s="54">
        <f>+O301+O305</f>
        <v>0</v>
      </c>
      <c r="P300" s="98">
        <f t="shared" si="61"/>
        <v>-1000</v>
      </c>
      <c r="Q300" s="98">
        <f t="shared" si="62"/>
        <v>-1000</v>
      </c>
      <c r="R300" s="98">
        <f t="shared" si="63"/>
        <v>0</v>
      </c>
      <c r="S300" s="98">
        <f t="shared" si="64"/>
        <v>5000</v>
      </c>
      <c r="T300" s="98">
        <f t="shared" si="65"/>
        <v>5000</v>
      </c>
      <c r="U300" s="98">
        <f t="shared" si="66"/>
        <v>0</v>
      </c>
      <c r="V300" s="98">
        <f t="shared" si="67"/>
        <v>5000</v>
      </c>
      <c r="W300" s="98">
        <f t="shared" si="68"/>
        <v>5000</v>
      </c>
      <c r="X300" s="98">
        <f t="shared" si="69"/>
        <v>0</v>
      </c>
      <c r="Y300" s="104"/>
      <c r="Z300" s="105"/>
    </row>
    <row r="301" spans="1:26" ht="12.75" customHeight="1">
      <c r="A301" s="42" t="s">
        <v>660</v>
      </c>
      <c r="B301" s="42" t="s">
        <v>629</v>
      </c>
      <c r="C301" s="42" t="s">
        <v>203</v>
      </c>
      <c r="D301" s="42" t="s">
        <v>197</v>
      </c>
      <c r="E301" s="41" t="s">
        <v>661</v>
      </c>
      <c r="F301" s="26"/>
      <c r="G301" s="98">
        <f t="shared" si="58"/>
        <v>0</v>
      </c>
      <c r="H301" s="54">
        <f>+H303</f>
        <v>0</v>
      </c>
      <c r="I301" s="54">
        <f>+I303</f>
        <v>0</v>
      </c>
      <c r="J301" s="98">
        <f t="shared" si="71"/>
        <v>4000</v>
      </c>
      <c r="K301" s="54">
        <f>+K303</f>
        <v>4000</v>
      </c>
      <c r="L301" s="54">
        <f>+L303</f>
        <v>0</v>
      </c>
      <c r="M301" s="98">
        <f t="shared" si="72"/>
        <v>3000</v>
      </c>
      <c r="N301" s="54">
        <f>+N303</f>
        <v>3000</v>
      </c>
      <c r="O301" s="54">
        <f>+O303</f>
        <v>0</v>
      </c>
      <c r="P301" s="98">
        <f t="shared" si="61"/>
        <v>-1000</v>
      </c>
      <c r="Q301" s="98">
        <f t="shared" si="62"/>
        <v>-1000</v>
      </c>
      <c r="R301" s="98">
        <f t="shared" si="63"/>
        <v>0</v>
      </c>
      <c r="S301" s="98">
        <f t="shared" si="64"/>
        <v>3000</v>
      </c>
      <c r="T301" s="98">
        <f t="shared" si="65"/>
        <v>3000</v>
      </c>
      <c r="U301" s="98">
        <f t="shared" si="66"/>
        <v>0</v>
      </c>
      <c r="V301" s="98">
        <f t="shared" si="67"/>
        <v>3000</v>
      </c>
      <c r="W301" s="98">
        <f t="shared" si="68"/>
        <v>3000</v>
      </c>
      <c r="X301" s="98">
        <f t="shared" si="69"/>
        <v>0</v>
      </c>
      <c r="Y301" s="104"/>
      <c r="Z301" s="105"/>
    </row>
    <row r="302" spans="1:26" ht="12.75" customHeight="1">
      <c r="A302" s="12"/>
      <c r="B302" s="14"/>
      <c r="C302" s="14"/>
      <c r="D302" s="102"/>
      <c r="E302" s="103" t="s">
        <v>5</v>
      </c>
      <c r="F302" s="26"/>
      <c r="G302" s="98">
        <f t="shared" si="58"/>
        <v>0</v>
      </c>
      <c r="H302" s="45"/>
      <c r="I302" s="45"/>
      <c r="J302" s="98">
        <f t="shared" si="71"/>
        <v>0</v>
      </c>
      <c r="K302" s="54"/>
      <c r="L302" s="54"/>
      <c r="M302" s="98">
        <f t="shared" si="72"/>
        <v>0</v>
      </c>
      <c r="N302" s="45"/>
      <c r="O302" s="45"/>
      <c r="P302" s="98">
        <f t="shared" si="61"/>
        <v>0</v>
      </c>
      <c r="Q302" s="98">
        <f t="shared" si="62"/>
        <v>0</v>
      </c>
      <c r="R302" s="98">
        <f t="shared" si="63"/>
        <v>0</v>
      </c>
      <c r="S302" s="98">
        <f t="shared" si="64"/>
        <v>0</v>
      </c>
      <c r="T302" s="98">
        <f t="shared" si="65"/>
        <v>0</v>
      </c>
      <c r="U302" s="98">
        <f t="shared" si="66"/>
        <v>0</v>
      </c>
      <c r="V302" s="98">
        <f t="shared" si="67"/>
        <v>0</v>
      </c>
      <c r="W302" s="98">
        <f t="shared" si="68"/>
        <v>0</v>
      </c>
      <c r="X302" s="98">
        <f t="shared" si="69"/>
        <v>0</v>
      </c>
      <c r="Y302" s="104"/>
      <c r="Z302" s="105"/>
    </row>
    <row r="303" spans="1:26" ht="12.75" customHeight="1">
      <c r="A303" s="12"/>
      <c r="B303" s="14"/>
      <c r="C303" s="14"/>
      <c r="D303" s="102"/>
      <c r="E303" s="103" t="s">
        <v>662</v>
      </c>
      <c r="F303" s="26"/>
      <c r="G303" s="98">
        <f t="shared" si="58"/>
        <v>0</v>
      </c>
      <c r="H303" s="54">
        <f aca="true" t="shared" si="76" ref="H303:X303">+H304</f>
        <v>0</v>
      </c>
      <c r="I303" s="54">
        <f t="shared" si="76"/>
        <v>0</v>
      </c>
      <c r="J303" s="98">
        <f t="shared" si="71"/>
        <v>4000</v>
      </c>
      <c r="K303" s="54">
        <f t="shared" si="76"/>
        <v>4000</v>
      </c>
      <c r="L303" s="54">
        <f t="shared" si="76"/>
        <v>0</v>
      </c>
      <c r="M303" s="98">
        <f t="shared" si="72"/>
        <v>3000</v>
      </c>
      <c r="N303" s="54">
        <f t="shared" si="76"/>
        <v>3000</v>
      </c>
      <c r="O303" s="54">
        <f t="shared" si="76"/>
        <v>0</v>
      </c>
      <c r="P303" s="98">
        <f t="shared" si="61"/>
        <v>-1000</v>
      </c>
      <c r="Q303" s="98">
        <f t="shared" si="62"/>
        <v>-1000</v>
      </c>
      <c r="R303" s="98">
        <f t="shared" si="63"/>
        <v>0</v>
      </c>
      <c r="S303" s="98">
        <f t="shared" si="64"/>
        <v>3000</v>
      </c>
      <c r="T303" s="98">
        <f t="shared" si="65"/>
        <v>3000</v>
      </c>
      <c r="U303" s="98">
        <f t="shared" si="66"/>
        <v>0</v>
      </c>
      <c r="V303" s="98">
        <f t="shared" si="67"/>
        <v>3000</v>
      </c>
      <c r="W303" s="98">
        <f t="shared" si="68"/>
        <v>3000</v>
      </c>
      <c r="X303" s="98">
        <f t="shared" si="69"/>
        <v>0</v>
      </c>
      <c r="Y303" s="104"/>
      <c r="Z303" s="105"/>
    </row>
    <row r="304" spans="1:26" ht="12.75" customHeight="1">
      <c r="A304" s="12"/>
      <c r="B304" s="14"/>
      <c r="C304" s="14"/>
      <c r="D304" s="102"/>
      <c r="E304" s="103" t="s">
        <v>663</v>
      </c>
      <c r="F304" s="26">
        <v>4234</v>
      </c>
      <c r="G304" s="98">
        <f t="shared" si="58"/>
        <v>0</v>
      </c>
      <c r="H304" s="45"/>
      <c r="I304" s="45"/>
      <c r="J304" s="98">
        <f t="shared" si="71"/>
        <v>4000</v>
      </c>
      <c r="K304" s="54">
        <v>4000</v>
      </c>
      <c r="L304" s="54"/>
      <c r="M304" s="98">
        <f t="shared" si="72"/>
        <v>3000</v>
      </c>
      <c r="N304" s="45">
        <v>3000</v>
      </c>
      <c r="O304" s="45"/>
      <c r="P304" s="98">
        <f t="shared" si="61"/>
        <v>-1000</v>
      </c>
      <c r="Q304" s="98">
        <f t="shared" si="62"/>
        <v>-1000</v>
      </c>
      <c r="R304" s="98">
        <f t="shared" si="63"/>
        <v>0</v>
      </c>
      <c r="S304" s="98">
        <f t="shared" si="64"/>
        <v>3000</v>
      </c>
      <c r="T304" s="98">
        <f t="shared" si="65"/>
        <v>3000</v>
      </c>
      <c r="U304" s="98">
        <f t="shared" si="66"/>
        <v>0</v>
      </c>
      <c r="V304" s="98">
        <f t="shared" si="67"/>
        <v>3000</v>
      </c>
      <c r="W304" s="98">
        <f t="shared" si="68"/>
        <v>3000</v>
      </c>
      <c r="X304" s="98">
        <f t="shared" si="69"/>
        <v>0</v>
      </c>
      <c r="Y304" s="104"/>
      <c r="Z304" s="105"/>
    </row>
    <row r="305" spans="1:26" s="101" customFormat="1" ht="46.5" customHeight="1">
      <c r="A305" s="5" t="s">
        <v>682</v>
      </c>
      <c r="B305" s="6" t="s">
        <v>629</v>
      </c>
      <c r="C305" s="6" t="s">
        <v>203</v>
      </c>
      <c r="D305" s="82" t="s">
        <v>203</v>
      </c>
      <c r="E305" s="106" t="s">
        <v>681</v>
      </c>
      <c r="F305" s="110"/>
      <c r="G305" s="98">
        <f t="shared" si="58"/>
        <v>1887.6</v>
      </c>
      <c r="H305" s="111">
        <f>+H307</f>
        <v>1887.6</v>
      </c>
      <c r="I305" s="111">
        <f>+I307</f>
        <v>0</v>
      </c>
      <c r="J305" s="98">
        <f t="shared" si="71"/>
        <v>2000</v>
      </c>
      <c r="K305" s="111">
        <f>+K307</f>
        <v>2000</v>
      </c>
      <c r="L305" s="111">
        <f>+L307</f>
        <v>0</v>
      </c>
      <c r="M305" s="98">
        <f t="shared" si="72"/>
        <v>2000</v>
      </c>
      <c r="N305" s="111">
        <f>+N307</f>
        <v>2000</v>
      </c>
      <c r="O305" s="111">
        <f>+O307</f>
        <v>0</v>
      </c>
      <c r="P305" s="98">
        <f t="shared" si="61"/>
        <v>0</v>
      </c>
      <c r="Q305" s="98">
        <f t="shared" si="62"/>
        <v>0</v>
      </c>
      <c r="R305" s="98">
        <f t="shared" si="63"/>
        <v>0</v>
      </c>
      <c r="S305" s="98">
        <f t="shared" si="64"/>
        <v>2000</v>
      </c>
      <c r="T305" s="98">
        <f t="shared" si="65"/>
        <v>2000</v>
      </c>
      <c r="U305" s="98">
        <f t="shared" si="66"/>
        <v>0</v>
      </c>
      <c r="V305" s="98">
        <f t="shared" si="67"/>
        <v>2000</v>
      </c>
      <c r="W305" s="98">
        <f t="shared" si="68"/>
        <v>2000</v>
      </c>
      <c r="X305" s="98">
        <f t="shared" si="69"/>
        <v>0</v>
      </c>
      <c r="Y305" s="99"/>
      <c r="Z305" s="100"/>
    </row>
    <row r="306" spans="1:26" s="101" customFormat="1" ht="10.5" customHeight="1">
      <c r="A306" s="5"/>
      <c r="B306" s="6"/>
      <c r="C306" s="6"/>
      <c r="D306" s="82"/>
      <c r="E306" s="103" t="s">
        <v>5</v>
      </c>
      <c r="F306" s="110"/>
      <c r="G306" s="98">
        <f t="shared" si="58"/>
        <v>0</v>
      </c>
      <c r="H306" s="45"/>
      <c r="I306" s="45"/>
      <c r="J306" s="98">
        <f t="shared" si="71"/>
        <v>0</v>
      </c>
      <c r="K306" s="111"/>
      <c r="L306" s="111"/>
      <c r="M306" s="98">
        <f t="shared" si="72"/>
        <v>0</v>
      </c>
      <c r="N306" s="45"/>
      <c r="O306" s="45"/>
      <c r="P306" s="98">
        <f t="shared" si="61"/>
        <v>0</v>
      </c>
      <c r="Q306" s="98">
        <f t="shared" si="62"/>
        <v>0</v>
      </c>
      <c r="R306" s="98">
        <f t="shared" si="63"/>
        <v>0</v>
      </c>
      <c r="S306" s="98">
        <f t="shared" si="64"/>
        <v>0</v>
      </c>
      <c r="T306" s="98">
        <f t="shared" si="65"/>
        <v>0</v>
      </c>
      <c r="U306" s="98">
        <f t="shared" si="66"/>
        <v>0</v>
      </c>
      <c r="V306" s="98">
        <f t="shared" si="67"/>
        <v>0</v>
      </c>
      <c r="W306" s="98">
        <f t="shared" si="68"/>
        <v>0</v>
      </c>
      <c r="X306" s="98">
        <f t="shared" si="69"/>
        <v>0</v>
      </c>
      <c r="Y306" s="99"/>
      <c r="Z306" s="100"/>
    </row>
    <row r="307" spans="1:26" s="101" customFormat="1" ht="22.5" customHeight="1">
      <c r="A307" s="5"/>
      <c r="B307" s="6"/>
      <c r="C307" s="6"/>
      <c r="D307" s="82"/>
      <c r="E307" s="106" t="s">
        <v>683</v>
      </c>
      <c r="F307" s="110"/>
      <c r="G307" s="98">
        <f t="shared" si="58"/>
        <v>1887.6</v>
      </c>
      <c r="H307" s="111">
        <f aca="true" t="shared" si="77" ref="H307:X307">+H308</f>
        <v>1887.6</v>
      </c>
      <c r="I307" s="111">
        <f t="shared" si="77"/>
        <v>0</v>
      </c>
      <c r="J307" s="98">
        <f t="shared" si="71"/>
        <v>2000</v>
      </c>
      <c r="K307" s="111">
        <f t="shared" si="77"/>
        <v>2000</v>
      </c>
      <c r="L307" s="111">
        <f t="shared" si="77"/>
        <v>0</v>
      </c>
      <c r="M307" s="98">
        <f t="shared" si="72"/>
        <v>2000</v>
      </c>
      <c r="N307" s="111">
        <f t="shared" si="77"/>
        <v>2000</v>
      </c>
      <c r="O307" s="111">
        <f t="shared" si="77"/>
        <v>0</v>
      </c>
      <c r="P307" s="98">
        <f t="shared" si="61"/>
        <v>0</v>
      </c>
      <c r="Q307" s="98">
        <f t="shared" si="62"/>
        <v>0</v>
      </c>
      <c r="R307" s="98">
        <f t="shared" si="63"/>
        <v>0</v>
      </c>
      <c r="S307" s="98">
        <f t="shared" si="64"/>
        <v>2000</v>
      </c>
      <c r="T307" s="98">
        <f t="shared" si="65"/>
        <v>2000</v>
      </c>
      <c r="U307" s="98">
        <f t="shared" si="66"/>
        <v>0</v>
      </c>
      <c r="V307" s="98">
        <f t="shared" si="67"/>
        <v>2000</v>
      </c>
      <c r="W307" s="98">
        <f t="shared" si="68"/>
        <v>2000</v>
      </c>
      <c r="X307" s="98">
        <f t="shared" si="69"/>
        <v>0</v>
      </c>
      <c r="Y307" s="99"/>
      <c r="Z307" s="100"/>
    </row>
    <row r="308" spans="1:26" s="101" customFormat="1" ht="15.75" customHeight="1">
      <c r="A308" s="5"/>
      <c r="B308" s="6"/>
      <c r="C308" s="6"/>
      <c r="D308" s="82"/>
      <c r="E308" s="103" t="s">
        <v>663</v>
      </c>
      <c r="F308" s="26">
        <v>4234</v>
      </c>
      <c r="G308" s="98">
        <f t="shared" si="58"/>
        <v>1887.6</v>
      </c>
      <c r="H308" s="45">
        <v>1887.6</v>
      </c>
      <c r="I308" s="45"/>
      <c r="J308" s="98">
        <f t="shared" si="71"/>
        <v>2000</v>
      </c>
      <c r="K308" s="111">
        <v>2000</v>
      </c>
      <c r="L308" s="111"/>
      <c r="M308" s="98">
        <f t="shared" si="72"/>
        <v>2000</v>
      </c>
      <c r="N308" s="45">
        <v>2000</v>
      </c>
      <c r="O308" s="45"/>
      <c r="P308" s="98">
        <f t="shared" si="61"/>
        <v>0</v>
      </c>
      <c r="Q308" s="98">
        <f t="shared" si="62"/>
        <v>0</v>
      </c>
      <c r="R308" s="98">
        <f t="shared" si="63"/>
        <v>0</v>
      </c>
      <c r="S308" s="98">
        <f t="shared" si="64"/>
        <v>2000</v>
      </c>
      <c r="T308" s="98">
        <f t="shared" si="65"/>
        <v>2000</v>
      </c>
      <c r="U308" s="98">
        <f t="shared" si="66"/>
        <v>0</v>
      </c>
      <c r="V308" s="98">
        <f t="shared" si="67"/>
        <v>2000</v>
      </c>
      <c r="W308" s="98">
        <f t="shared" si="68"/>
        <v>2000</v>
      </c>
      <c r="X308" s="98">
        <f t="shared" si="69"/>
        <v>0</v>
      </c>
      <c r="Y308" s="99"/>
      <c r="Z308" s="100"/>
    </row>
    <row r="309" spans="1:26" ht="27" customHeight="1">
      <c r="A309" s="42" t="s">
        <v>688</v>
      </c>
      <c r="B309" s="42" t="s">
        <v>629</v>
      </c>
      <c r="C309" s="42" t="s">
        <v>237</v>
      </c>
      <c r="D309" s="42" t="s">
        <v>194</v>
      </c>
      <c r="E309" s="41" t="s">
        <v>689</v>
      </c>
      <c r="F309" s="102"/>
      <c r="G309" s="98">
        <f t="shared" si="58"/>
        <v>4912</v>
      </c>
      <c r="H309" s="54">
        <f>+H310+H315</f>
        <v>4680</v>
      </c>
      <c r="I309" s="54">
        <f>+I310+I315</f>
        <v>232</v>
      </c>
      <c r="J309" s="98">
        <f t="shared" si="71"/>
        <v>27000</v>
      </c>
      <c r="K309" s="54">
        <f>+K310</f>
        <v>27000</v>
      </c>
      <c r="L309" s="54">
        <f>+L310</f>
        <v>0</v>
      </c>
      <c r="M309" s="98">
        <f t="shared" si="72"/>
        <v>22000</v>
      </c>
      <c r="N309" s="54">
        <f>+N310+N315</f>
        <v>22000</v>
      </c>
      <c r="O309" s="54">
        <f>+O310+O315</f>
        <v>0</v>
      </c>
      <c r="P309" s="98">
        <f t="shared" si="61"/>
        <v>-5000</v>
      </c>
      <c r="Q309" s="98">
        <f t="shared" si="62"/>
        <v>-5000</v>
      </c>
      <c r="R309" s="98">
        <f t="shared" si="63"/>
        <v>0</v>
      </c>
      <c r="S309" s="98">
        <f t="shared" si="64"/>
        <v>22000</v>
      </c>
      <c r="T309" s="98">
        <f t="shared" si="65"/>
        <v>22000</v>
      </c>
      <c r="U309" s="98">
        <f t="shared" si="66"/>
        <v>0</v>
      </c>
      <c r="V309" s="98">
        <f t="shared" si="67"/>
        <v>22000</v>
      </c>
      <c r="W309" s="98">
        <f t="shared" si="68"/>
        <v>22000</v>
      </c>
      <c r="X309" s="98">
        <f t="shared" si="69"/>
        <v>0</v>
      </c>
      <c r="Y309" s="104"/>
      <c r="Z309" s="105"/>
    </row>
    <row r="310" spans="1:26" ht="27" customHeight="1">
      <c r="A310" s="42" t="s">
        <v>628</v>
      </c>
      <c r="B310" s="42" t="s">
        <v>629</v>
      </c>
      <c r="C310" s="42" t="s">
        <v>237</v>
      </c>
      <c r="D310" s="42" t="s">
        <v>221</v>
      </c>
      <c r="E310" s="103" t="s">
        <v>630</v>
      </c>
      <c r="F310" s="26"/>
      <c r="G310" s="98">
        <f t="shared" si="58"/>
        <v>4474.2</v>
      </c>
      <c r="H310" s="54">
        <f>+H312</f>
        <v>4474.2</v>
      </c>
      <c r="I310" s="54">
        <f>+I312</f>
        <v>0</v>
      </c>
      <c r="J310" s="98">
        <f t="shared" si="71"/>
        <v>27000</v>
      </c>
      <c r="K310" s="54">
        <f>+K312</f>
        <v>27000</v>
      </c>
      <c r="L310" s="54">
        <f>+L312</f>
        <v>0</v>
      </c>
      <c r="M310" s="98">
        <f t="shared" si="72"/>
        <v>22000</v>
      </c>
      <c r="N310" s="54">
        <f>+N312</f>
        <v>22000</v>
      </c>
      <c r="O310" s="54">
        <f>+O312</f>
        <v>0</v>
      </c>
      <c r="P310" s="98">
        <f t="shared" si="61"/>
        <v>-5000</v>
      </c>
      <c r="Q310" s="98">
        <f t="shared" si="62"/>
        <v>-5000</v>
      </c>
      <c r="R310" s="98">
        <f t="shared" si="63"/>
        <v>0</v>
      </c>
      <c r="S310" s="98">
        <f t="shared" si="64"/>
        <v>22000</v>
      </c>
      <c r="T310" s="98">
        <f t="shared" si="65"/>
        <v>22000</v>
      </c>
      <c r="U310" s="98">
        <f t="shared" si="66"/>
        <v>0</v>
      </c>
      <c r="V310" s="98">
        <f t="shared" si="67"/>
        <v>22000</v>
      </c>
      <c r="W310" s="98">
        <f t="shared" si="68"/>
        <v>22000</v>
      </c>
      <c r="X310" s="98">
        <f t="shared" si="69"/>
        <v>0</v>
      </c>
      <c r="Y310" s="104"/>
      <c r="Z310" s="105"/>
    </row>
    <row r="311" spans="1:26" ht="12.75" customHeight="1">
      <c r="A311" s="12"/>
      <c r="B311" s="14"/>
      <c r="C311" s="14"/>
      <c r="D311" s="102"/>
      <c r="E311" s="103" t="s">
        <v>5</v>
      </c>
      <c r="F311" s="26"/>
      <c r="G311" s="98">
        <f t="shared" si="58"/>
        <v>0</v>
      </c>
      <c r="H311" s="45"/>
      <c r="I311" s="45"/>
      <c r="J311" s="98">
        <f t="shared" si="71"/>
        <v>0</v>
      </c>
      <c r="K311" s="54"/>
      <c r="L311" s="54"/>
      <c r="M311" s="98">
        <f t="shared" si="72"/>
        <v>0</v>
      </c>
      <c r="N311" s="45"/>
      <c r="O311" s="45"/>
      <c r="P311" s="98">
        <f t="shared" si="61"/>
        <v>0</v>
      </c>
      <c r="Q311" s="98">
        <f t="shared" si="62"/>
        <v>0</v>
      </c>
      <c r="R311" s="98">
        <f t="shared" si="63"/>
        <v>0</v>
      </c>
      <c r="S311" s="98">
        <f t="shared" si="64"/>
        <v>0</v>
      </c>
      <c r="T311" s="98">
        <f t="shared" si="65"/>
        <v>0</v>
      </c>
      <c r="U311" s="98">
        <f t="shared" si="66"/>
        <v>0</v>
      </c>
      <c r="V311" s="98">
        <f t="shared" si="67"/>
        <v>0</v>
      </c>
      <c r="W311" s="98">
        <f t="shared" si="68"/>
        <v>0</v>
      </c>
      <c r="X311" s="98">
        <f t="shared" si="69"/>
        <v>0</v>
      </c>
      <c r="Y311" s="104"/>
      <c r="Z311" s="105"/>
    </row>
    <row r="312" spans="1:26" ht="21" customHeight="1">
      <c r="A312" s="12"/>
      <c r="B312" s="14"/>
      <c r="C312" s="14"/>
      <c r="D312" s="102"/>
      <c r="E312" s="106" t="s">
        <v>631</v>
      </c>
      <c r="F312" s="26"/>
      <c r="G312" s="98">
        <f t="shared" si="58"/>
        <v>4474.2</v>
      </c>
      <c r="H312" s="54">
        <f>+H313+H314</f>
        <v>4474.2</v>
      </c>
      <c r="I312" s="54">
        <f>+I313+I314</f>
        <v>0</v>
      </c>
      <c r="J312" s="98">
        <f t="shared" si="71"/>
        <v>27000</v>
      </c>
      <c r="K312" s="54">
        <f>+K313+K314</f>
        <v>27000</v>
      </c>
      <c r="L312" s="54">
        <f>+L313+L314</f>
        <v>0</v>
      </c>
      <c r="M312" s="98">
        <f t="shared" si="72"/>
        <v>22000</v>
      </c>
      <c r="N312" s="54">
        <f>+N313+N314</f>
        <v>22000</v>
      </c>
      <c r="O312" s="54">
        <f>+O313+O314</f>
        <v>0</v>
      </c>
      <c r="P312" s="98">
        <f t="shared" si="61"/>
        <v>-5000</v>
      </c>
      <c r="Q312" s="98">
        <f t="shared" si="62"/>
        <v>-5000</v>
      </c>
      <c r="R312" s="98">
        <f t="shared" si="63"/>
        <v>0</v>
      </c>
      <c r="S312" s="98">
        <f t="shared" si="64"/>
        <v>22000</v>
      </c>
      <c r="T312" s="98">
        <f t="shared" si="65"/>
        <v>22000</v>
      </c>
      <c r="U312" s="98">
        <f t="shared" si="66"/>
        <v>0</v>
      </c>
      <c r="V312" s="98">
        <f t="shared" si="67"/>
        <v>22000</v>
      </c>
      <c r="W312" s="98">
        <f t="shared" si="68"/>
        <v>22000</v>
      </c>
      <c r="X312" s="98">
        <f t="shared" si="69"/>
        <v>0</v>
      </c>
      <c r="Y312" s="104"/>
      <c r="Z312" s="105"/>
    </row>
    <row r="313" spans="1:26" ht="12.75" customHeight="1">
      <c r="A313" s="12"/>
      <c r="B313" s="14"/>
      <c r="C313" s="14"/>
      <c r="D313" s="102"/>
      <c r="E313" s="13" t="s">
        <v>473</v>
      </c>
      <c r="F313" s="26">
        <v>4639</v>
      </c>
      <c r="G313" s="98">
        <f t="shared" si="58"/>
        <v>4474.2</v>
      </c>
      <c r="H313" s="45">
        <v>4474.2</v>
      </c>
      <c r="I313" s="45"/>
      <c r="J313" s="98">
        <f t="shared" si="71"/>
        <v>22000</v>
      </c>
      <c r="K313" s="54">
        <v>22000</v>
      </c>
      <c r="L313" s="54"/>
      <c r="M313" s="98">
        <f t="shared" si="72"/>
        <v>20000</v>
      </c>
      <c r="N313" s="45">
        <v>20000</v>
      </c>
      <c r="O313" s="45"/>
      <c r="P313" s="98">
        <f t="shared" si="61"/>
        <v>-2000</v>
      </c>
      <c r="Q313" s="98">
        <f t="shared" si="62"/>
        <v>-2000</v>
      </c>
      <c r="R313" s="98">
        <f t="shared" si="63"/>
        <v>0</v>
      </c>
      <c r="S313" s="98">
        <f t="shared" si="64"/>
        <v>20000</v>
      </c>
      <c r="T313" s="98">
        <f t="shared" si="65"/>
        <v>20000</v>
      </c>
      <c r="U313" s="98">
        <f t="shared" si="66"/>
        <v>0</v>
      </c>
      <c r="V313" s="98">
        <f t="shared" si="67"/>
        <v>20000</v>
      </c>
      <c r="W313" s="98">
        <f t="shared" si="68"/>
        <v>20000</v>
      </c>
      <c r="X313" s="98">
        <f t="shared" si="69"/>
        <v>0</v>
      </c>
      <c r="Y313" s="104"/>
      <c r="Z313" s="105"/>
    </row>
    <row r="314" spans="1:26" ht="19.5" customHeight="1">
      <c r="A314" s="12"/>
      <c r="B314" s="14"/>
      <c r="C314" s="14"/>
      <c r="D314" s="102"/>
      <c r="E314" s="15" t="s">
        <v>495</v>
      </c>
      <c r="F314" s="26">
        <v>4819</v>
      </c>
      <c r="G314" s="98">
        <f t="shared" si="58"/>
        <v>0</v>
      </c>
      <c r="H314" s="45"/>
      <c r="I314" s="45"/>
      <c r="J314" s="98">
        <f t="shared" si="71"/>
        <v>5000</v>
      </c>
      <c r="K314" s="54">
        <v>5000</v>
      </c>
      <c r="L314" s="54"/>
      <c r="M314" s="98">
        <f t="shared" si="72"/>
        <v>2000</v>
      </c>
      <c r="N314" s="45">
        <v>2000</v>
      </c>
      <c r="O314" s="45"/>
      <c r="P314" s="98">
        <f t="shared" si="61"/>
        <v>-3000</v>
      </c>
      <c r="Q314" s="98">
        <f t="shared" si="62"/>
        <v>-3000</v>
      </c>
      <c r="R314" s="98">
        <f t="shared" si="63"/>
        <v>0</v>
      </c>
      <c r="S314" s="98">
        <f t="shared" si="64"/>
        <v>2000</v>
      </c>
      <c r="T314" s="98">
        <f t="shared" si="65"/>
        <v>2000</v>
      </c>
      <c r="U314" s="98">
        <f t="shared" si="66"/>
        <v>0</v>
      </c>
      <c r="V314" s="98">
        <f t="shared" si="67"/>
        <v>2000</v>
      </c>
      <c r="W314" s="98">
        <f t="shared" si="68"/>
        <v>2000</v>
      </c>
      <c r="X314" s="98">
        <f t="shared" si="69"/>
        <v>0</v>
      </c>
      <c r="Y314" s="104"/>
      <c r="Z314" s="105"/>
    </row>
    <row r="315" spans="1:26" ht="19.5" customHeight="1">
      <c r="A315" s="25" t="s">
        <v>324</v>
      </c>
      <c r="B315" s="26" t="s">
        <v>301</v>
      </c>
      <c r="C315" s="26" t="s">
        <v>237</v>
      </c>
      <c r="D315" s="26" t="s">
        <v>203</v>
      </c>
      <c r="E315" s="13" t="s">
        <v>325</v>
      </c>
      <c r="F315" s="26"/>
      <c r="G315" s="98">
        <f t="shared" si="58"/>
        <v>437.8</v>
      </c>
      <c r="H315" s="45">
        <f>+H316</f>
        <v>205.8</v>
      </c>
      <c r="I315" s="45">
        <f>+I317+I318</f>
        <v>232</v>
      </c>
      <c r="J315" s="98"/>
      <c r="K315" s="54"/>
      <c r="L315" s="54"/>
      <c r="M315" s="98"/>
      <c r="N315" s="45"/>
      <c r="O315" s="45">
        <f>+O317+O318</f>
        <v>0</v>
      </c>
      <c r="P315" s="98">
        <f t="shared" si="61"/>
        <v>0</v>
      </c>
      <c r="Q315" s="98">
        <f t="shared" si="62"/>
        <v>0</v>
      </c>
      <c r="R315" s="98">
        <f t="shared" si="63"/>
        <v>0</v>
      </c>
      <c r="S315" s="98">
        <f t="shared" si="64"/>
        <v>0</v>
      </c>
      <c r="T315" s="98">
        <f t="shared" si="65"/>
        <v>0</v>
      </c>
      <c r="U315" s="98">
        <f t="shared" si="66"/>
        <v>0</v>
      </c>
      <c r="V315" s="98">
        <f t="shared" si="67"/>
        <v>0</v>
      </c>
      <c r="W315" s="98">
        <f t="shared" si="68"/>
        <v>0</v>
      </c>
      <c r="X315" s="98">
        <f t="shared" si="69"/>
        <v>0</v>
      </c>
      <c r="Y315" s="104"/>
      <c r="Z315" s="105"/>
    </row>
    <row r="316" spans="1:26" ht="19.5" customHeight="1">
      <c r="A316" s="12"/>
      <c r="B316" s="14"/>
      <c r="C316" s="14"/>
      <c r="D316" s="102"/>
      <c r="E316" s="13" t="s">
        <v>429</v>
      </c>
      <c r="F316" s="26">
        <v>4251</v>
      </c>
      <c r="G316" s="98">
        <f>+H316+I316</f>
        <v>205.8</v>
      </c>
      <c r="H316" s="45">
        <v>205.8</v>
      </c>
      <c r="I316" s="45"/>
      <c r="J316" s="98"/>
      <c r="K316" s="54"/>
      <c r="L316" s="54"/>
      <c r="M316" s="98"/>
      <c r="N316" s="45"/>
      <c r="O316" s="45"/>
      <c r="P316" s="98">
        <f t="shared" si="61"/>
        <v>0</v>
      </c>
      <c r="Q316" s="98">
        <f t="shared" si="62"/>
        <v>0</v>
      </c>
      <c r="R316" s="98">
        <f t="shared" si="63"/>
        <v>0</v>
      </c>
      <c r="S316" s="98">
        <f t="shared" si="64"/>
        <v>0</v>
      </c>
      <c r="T316" s="98">
        <f t="shared" si="65"/>
        <v>0</v>
      </c>
      <c r="U316" s="98">
        <f t="shared" si="66"/>
        <v>0</v>
      </c>
      <c r="V316" s="98">
        <f t="shared" si="67"/>
        <v>0</v>
      </c>
      <c r="W316" s="98">
        <f t="shared" si="68"/>
        <v>0</v>
      </c>
      <c r="X316" s="98">
        <f t="shared" si="69"/>
        <v>0</v>
      </c>
      <c r="Y316" s="104"/>
      <c r="Z316" s="105"/>
    </row>
    <row r="317" spans="1:26" ht="19.5" customHeight="1">
      <c r="A317" s="12"/>
      <c r="B317" s="14"/>
      <c r="C317" s="14"/>
      <c r="D317" s="102"/>
      <c r="E317" s="13" t="s">
        <v>727</v>
      </c>
      <c r="F317" s="26">
        <v>5131</v>
      </c>
      <c r="G317" s="98">
        <f>+H317+I317</f>
        <v>192</v>
      </c>
      <c r="H317" s="45"/>
      <c r="I317" s="45">
        <v>192</v>
      </c>
      <c r="J317" s="98"/>
      <c r="K317" s="54"/>
      <c r="L317" s="54"/>
      <c r="M317" s="98"/>
      <c r="N317" s="45"/>
      <c r="O317" s="45"/>
      <c r="P317" s="98">
        <f t="shared" si="61"/>
        <v>0</v>
      </c>
      <c r="Q317" s="98">
        <f t="shared" si="62"/>
        <v>0</v>
      </c>
      <c r="R317" s="98">
        <f t="shared" si="63"/>
        <v>0</v>
      </c>
      <c r="S317" s="98">
        <f t="shared" si="64"/>
        <v>0</v>
      </c>
      <c r="T317" s="98">
        <f t="shared" si="65"/>
        <v>0</v>
      </c>
      <c r="U317" s="98">
        <f t="shared" si="66"/>
        <v>0</v>
      </c>
      <c r="V317" s="98">
        <f t="shared" si="67"/>
        <v>0</v>
      </c>
      <c r="W317" s="98">
        <f t="shared" si="68"/>
        <v>0</v>
      </c>
      <c r="X317" s="98">
        <f t="shared" si="69"/>
        <v>0</v>
      </c>
      <c r="Y317" s="104"/>
      <c r="Z317" s="105"/>
    </row>
    <row r="318" spans="1:26" ht="19.5" customHeight="1">
      <c r="A318" s="12"/>
      <c r="B318" s="14"/>
      <c r="C318" s="14"/>
      <c r="D318" s="102"/>
      <c r="E318" s="13" t="s">
        <v>538</v>
      </c>
      <c r="F318" s="26">
        <v>5134</v>
      </c>
      <c r="G318" s="98">
        <f>+H318+I318</f>
        <v>40</v>
      </c>
      <c r="H318" s="45"/>
      <c r="I318" s="45">
        <v>40</v>
      </c>
      <c r="J318" s="98"/>
      <c r="K318" s="54"/>
      <c r="L318" s="54"/>
      <c r="M318" s="98"/>
      <c r="N318" s="45"/>
      <c r="O318" s="45"/>
      <c r="P318" s="98">
        <f t="shared" si="61"/>
        <v>0</v>
      </c>
      <c r="Q318" s="98">
        <f t="shared" si="62"/>
        <v>0</v>
      </c>
      <c r="R318" s="98">
        <f t="shared" si="63"/>
        <v>0</v>
      </c>
      <c r="S318" s="98">
        <f t="shared" si="64"/>
        <v>0</v>
      </c>
      <c r="T318" s="98">
        <f t="shared" si="65"/>
        <v>0</v>
      </c>
      <c r="U318" s="98">
        <f t="shared" si="66"/>
        <v>0</v>
      </c>
      <c r="V318" s="98">
        <f t="shared" si="67"/>
        <v>0</v>
      </c>
      <c r="W318" s="98">
        <f t="shared" si="68"/>
        <v>0</v>
      </c>
      <c r="X318" s="98">
        <f t="shared" si="69"/>
        <v>0</v>
      </c>
      <c r="Y318" s="104"/>
      <c r="Z318" s="105"/>
    </row>
    <row r="319" spans="1:26" s="101" customFormat="1" ht="46.5" customHeight="1">
      <c r="A319" s="5" t="s">
        <v>326</v>
      </c>
      <c r="B319" s="6" t="s">
        <v>327</v>
      </c>
      <c r="C319" s="6" t="s">
        <v>194</v>
      </c>
      <c r="D319" s="82" t="s">
        <v>194</v>
      </c>
      <c r="E319" s="106" t="s">
        <v>328</v>
      </c>
      <c r="F319" s="110"/>
      <c r="G319" s="98">
        <f aca="true" t="shared" si="78" ref="G319:G380">+H319+I319</f>
        <v>1230091.2</v>
      </c>
      <c r="H319" s="111">
        <f>+H321+H375+H379+H366+H372</f>
        <v>938714</v>
      </c>
      <c r="I319" s="111">
        <f>+I321+I375+I379</f>
        <v>291377.2</v>
      </c>
      <c r="J319" s="98">
        <f t="shared" si="71"/>
        <v>1290219</v>
      </c>
      <c r="K319" s="111">
        <f>+K321+K375+K379</f>
        <v>1024780</v>
      </c>
      <c r="L319" s="111">
        <f>+L321+L375+L379</f>
        <v>265439</v>
      </c>
      <c r="M319" s="98">
        <f t="shared" si="72"/>
        <v>1246000</v>
      </c>
      <c r="N319" s="111">
        <f>+N321+N375+N379+N366+N372</f>
        <v>1146000</v>
      </c>
      <c r="O319" s="111">
        <f>+O321+O375+O379</f>
        <v>100000</v>
      </c>
      <c r="P319" s="98">
        <f t="shared" si="61"/>
        <v>-44219</v>
      </c>
      <c r="Q319" s="98">
        <f t="shared" si="62"/>
        <v>121220</v>
      </c>
      <c r="R319" s="98">
        <f t="shared" si="63"/>
        <v>-165439</v>
      </c>
      <c r="S319" s="98">
        <f t="shared" si="64"/>
        <v>1246000</v>
      </c>
      <c r="T319" s="98">
        <f t="shared" si="65"/>
        <v>1146000</v>
      </c>
      <c r="U319" s="98">
        <f t="shared" si="66"/>
        <v>100000</v>
      </c>
      <c r="V319" s="98">
        <f t="shared" si="67"/>
        <v>1246000</v>
      </c>
      <c r="W319" s="98">
        <f t="shared" si="68"/>
        <v>1146000</v>
      </c>
      <c r="X319" s="98">
        <f t="shared" si="69"/>
        <v>100000</v>
      </c>
      <c r="Y319" s="99"/>
      <c r="Z319" s="100"/>
    </row>
    <row r="320" spans="1:26" ht="12.75" customHeight="1">
      <c r="A320" s="12"/>
      <c r="B320" s="14"/>
      <c r="C320" s="14"/>
      <c r="D320" s="102"/>
      <c r="E320" s="103" t="s">
        <v>5</v>
      </c>
      <c r="F320" s="102"/>
      <c r="G320" s="98">
        <f t="shared" si="78"/>
        <v>0</v>
      </c>
      <c r="H320" s="45"/>
      <c r="I320" s="45"/>
      <c r="J320" s="98">
        <f t="shared" si="71"/>
        <v>0</v>
      </c>
      <c r="K320" s="54"/>
      <c r="L320" s="54"/>
      <c r="M320" s="98">
        <f t="shared" si="72"/>
        <v>0</v>
      </c>
      <c r="N320" s="45"/>
      <c r="O320" s="45"/>
      <c r="P320" s="98">
        <f t="shared" si="61"/>
        <v>0</v>
      </c>
      <c r="Q320" s="98">
        <f t="shared" si="62"/>
        <v>0</v>
      </c>
      <c r="R320" s="98">
        <f t="shared" si="63"/>
        <v>0</v>
      </c>
      <c r="S320" s="98">
        <f t="shared" si="64"/>
        <v>0</v>
      </c>
      <c r="T320" s="98">
        <f t="shared" si="65"/>
        <v>0</v>
      </c>
      <c r="U320" s="98">
        <f t="shared" si="66"/>
        <v>0</v>
      </c>
      <c r="V320" s="98">
        <f t="shared" si="67"/>
        <v>0</v>
      </c>
      <c r="W320" s="98">
        <f t="shared" si="68"/>
        <v>0</v>
      </c>
      <c r="X320" s="98">
        <f t="shared" si="69"/>
        <v>0</v>
      </c>
      <c r="Y320" s="104"/>
      <c r="Z320" s="105"/>
    </row>
    <row r="321" spans="1:26" s="101" customFormat="1" ht="46.5" customHeight="1">
      <c r="A321" s="5" t="s">
        <v>329</v>
      </c>
      <c r="B321" s="6" t="s">
        <v>327</v>
      </c>
      <c r="C321" s="6" t="s">
        <v>197</v>
      </c>
      <c r="D321" s="82" t="s">
        <v>194</v>
      </c>
      <c r="E321" s="106" t="s">
        <v>330</v>
      </c>
      <c r="F321" s="110"/>
      <c r="G321" s="98">
        <f t="shared" si="78"/>
        <v>931330.7</v>
      </c>
      <c r="H321" s="111">
        <f>+H323+H364</f>
        <v>639953.5</v>
      </c>
      <c r="I321" s="111">
        <f>+I323</f>
        <v>291377.2</v>
      </c>
      <c r="J321" s="98">
        <f t="shared" si="71"/>
        <v>991219</v>
      </c>
      <c r="K321" s="111">
        <f>+K323</f>
        <v>730780</v>
      </c>
      <c r="L321" s="111">
        <f>+L323</f>
        <v>260439</v>
      </c>
      <c r="M321" s="98">
        <f t="shared" si="72"/>
        <v>867000</v>
      </c>
      <c r="N321" s="111">
        <f>+N323+N364</f>
        <v>767000</v>
      </c>
      <c r="O321" s="111">
        <f>+O323</f>
        <v>100000</v>
      </c>
      <c r="P321" s="98">
        <f t="shared" si="61"/>
        <v>-124219</v>
      </c>
      <c r="Q321" s="98">
        <f t="shared" si="62"/>
        <v>36220</v>
      </c>
      <c r="R321" s="98">
        <f t="shared" si="63"/>
        <v>-160439</v>
      </c>
      <c r="S321" s="98">
        <f t="shared" si="64"/>
        <v>867000</v>
      </c>
      <c r="T321" s="98">
        <f t="shared" si="65"/>
        <v>767000</v>
      </c>
      <c r="U321" s="98">
        <f t="shared" si="66"/>
        <v>100000</v>
      </c>
      <c r="V321" s="98">
        <f t="shared" si="67"/>
        <v>867000</v>
      </c>
      <c r="W321" s="98">
        <f t="shared" si="68"/>
        <v>767000</v>
      </c>
      <c r="X321" s="98">
        <f t="shared" si="69"/>
        <v>100000</v>
      </c>
      <c r="Y321" s="99"/>
      <c r="Z321" s="100"/>
    </row>
    <row r="322" spans="1:26" ht="12.75" customHeight="1">
      <c r="A322" s="12"/>
      <c r="B322" s="14"/>
      <c r="C322" s="14"/>
      <c r="D322" s="102"/>
      <c r="E322" s="103" t="s">
        <v>199</v>
      </c>
      <c r="F322" s="102"/>
      <c r="G322" s="98">
        <f t="shared" si="78"/>
        <v>0</v>
      </c>
      <c r="H322" s="45"/>
      <c r="I322" s="45"/>
      <c r="J322" s="98">
        <f t="shared" si="71"/>
        <v>0</v>
      </c>
      <c r="K322" s="54"/>
      <c r="L322" s="54"/>
      <c r="M322" s="98">
        <f t="shared" si="72"/>
        <v>0</v>
      </c>
      <c r="N322" s="45"/>
      <c r="O322" s="45"/>
      <c r="P322" s="98">
        <f t="shared" si="61"/>
        <v>0</v>
      </c>
      <c r="Q322" s="98">
        <f t="shared" si="62"/>
        <v>0</v>
      </c>
      <c r="R322" s="98">
        <f t="shared" si="63"/>
        <v>0</v>
      </c>
      <c r="S322" s="98">
        <f t="shared" si="64"/>
        <v>0</v>
      </c>
      <c r="T322" s="98">
        <f t="shared" si="65"/>
        <v>0</v>
      </c>
      <c r="U322" s="98">
        <f t="shared" si="66"/>
        <v>0</v>
      </c>
      <c r="V322" s="98">
        <f t="shared" si="67"/>
        <v>0</v>
      </c>
      <c r="W322" s="98">
        <f t="shared" si="68"/>
        <v>0</v>
      </c>
      <c r="X322" s="98">
        <f t="shared" si="69"/>
        <v>0</v>
      </c>
      <c r="Y322" s="104"/>
      <c r="Z322" s="105"/>
    </row>
    <row r="323" spans="1:26" ht="12.75" customHeight="1">
      <c r="A323" s="25" t="s">
        <v>331</v>
      </c>
      <c r="B323" s="26" t="s">
        <v>327</v>
      </c>
      <c r="C323" s="26" t="s">
        <v>197</v>
      </c>
      <c r="D323" s="26" t="s">
        <v>197</v>
      </c>
      <c r="E323" s="103" t="s">
        <v>332</v>
      </c>
      <c r="F323" s="102"/>
      <c r="G323" s="98">
        <f t="shared" si="78"/>
        <v>930304.7</v>
      </c>
      <c r="H323" s="54">
        <f>+H325+H333+H335+H339+H341+H343+H345+H348+H350+H352+H354+H356+H358+H360</f>
        <v>638927.5</v>
      </c>
      <c r="I323" s="54">
        <f>+I325+I335+I360</f>
        <v>291377.2</v>
      </c>
      <c r="J323" s="98">
        <f t="shared" si="71"/>
        <v>991219</v>
      </c>
      <c r="K323" s="54">
        <f>+K325+K333+K335+K339+K341+K343+K345+K348+K350+K352+K354+K356+K358+K360</f>
        <v>730780</v>
      </c>
      <c r="L323" s="54">
        <f>+L325+L333+L335+L339+L341+L343+L345+L348+L350+L352+L354+L356+L358+L360</f>
        <v>260439</v>
      </c>
      <c r="M323" s="98">
        <f t="shared" si="72"/>
        <v>867000</v>
      </c>
      <c r="N323" s="54">
        <f>+N325+N333+N335+N339+N341+N343+N345+N348+N350+N352+N354+N356+N358+N360</f>
        <v>767000</v>
      </c>
      <c r="O323" s="54">
        <f>+O325+O335+O360</f>
        <v>100000</v>
      </c>
      <c r="P323" s="98">
        <f t="shared" si="61"/>
        <v>-124219</v>
      </c>
      <c r="Q323" s="98">
        <f t="shared" si="62"/>
        <v>36220</v>
      </c>
      <c r="R323" s="98">
        <f t="shared" si="63"/>
        <v>-160439</v>
      </c>
      <c r="S323" s="98">
        <f t="shared" si="64"/>
        <v>867000</v>
      </c>
      <c r="T323" s="98">
        <f t="shared" si="65"/>
        <v>767000</v>
      </c>
      <c r="U323" s="98">
        <f t="shared" si="66"/>
        <v>100000</v>
      </c>
      <c r="V323" s="98">
        <f t="shared" si="67"/>
        <v>867000</v>
      </c>
      <c r="W323" s="98">
        <f t="shared" si="68"/>
        <v>767000</v>
      </c>
      <c r="X323" s="98">
        <f t="shared" si="69"/>
        <v>100000</v>
      </c>
      <c r="Y323" s="104"/>
      <c r="Z323" s="105"/>
    </row>
    <row r="324" spans="1:26" ht="12.75" customHeight="1">
      <c r="A324" s="12"/>
      <c r="B324" s="14"/>
      <c r="C324" s="14"/>
      <c r="D324" s="102"/>
      <c r="E324" s="103" t="s">
        <v>5</v>
      </c>
      <c r="F324" s="102"/>
      <c r="G324" s="98">
        <f t="shared" si="78"/>
        <v>0</v>
      </c>
      <c r="H324" s="45"/>
      <c r="I324" s="45"/>
      <c r="J324" s="98">
        <f t="shared" si="71"/>
        <v>0</v>
      </c>
      <c r="K324" s="54"/>
      <c r="L324" s="54"/>
      <c r="M324" s="98">
        <f t="shared" si="72"/>
        <v>0</v>
      </c>
      <c r="N324" s="45"/>
      <c r="O324" s="45"/>
      <c r="P324" s="98">
        <f t="shared" si="61"/>
        <v>0</v>
      </c>
      <c r="Q324" s="98">
        <f t="shared" si="62"/>
        <v>0</v>
      </c>
      <c r="R324" s="98">
        <f t="shared" si="63"/>
        <v>0</v>
      </c>
      <c r="S324" s="98">
        <f t="shared" si="64"/>
        <v>0</v>
      </c>
      <c r="T324" s="98">
        <f t="shared" si="65"/>
        <v>0</v>
      </c>
      <c r="U324" s="98">
        <f t="shared" si="66"/>
        <v>0</v>
      </c>
      <c r="V324" s="98">
        <f t="shared" si="67"/>
        <v>0</v>
      </c>
      <c r="W324" s="98">
        <f t="shared" si="68"/>
        <v>0</v>
      </c>
      <c r="X324" s="98">
        <f t="shared" si="69"/>
        <v>0</v>
      </c>
      <c r="Y324" s="104"/>
      <c r="Z324" s="105"/>
    </row>
    <row r="325" spans="1:26" s="101" customFormat="1" ht="46.5" customHeight="1">
      <c r="A325" s="5"/>
      <c r="B325" s="6"/>
      <c r="C325" s="6"/>
      <c r="D325" s="82"/>
      <c r="E325" s="106" t="s">
        <v>694</v>
      </c>
      <c r="F325" s="110"/>
      <c r="G325" s="98">
        <f t="shared" si="78"/>
        <v>292744.00000000006</v>
      </c>
      <c r="H325" s="111">
        <f>+H326+H327+H328+H329+H330+H331+H332</f>
        <v>7058.9</v>
      </c>
      <c r="I325" s="111">
        <f>+I326+I327+I328+I329+I330+I331+I332</f>
        <v>285685.10000000003</v>
      </c>
      <c r="J325" s="98">
        <f t="shared" si="71"/>
        <v>260219</v>
      </c>
      <c r="K325" s="111">
        <f aca="true" t="shared" si="79" ref="K325:X325">+K326+K327+K329+K330+K331+K332</f>
        <v>780</v>
      </c>
      <c r="L325" s="111">
        <f t="shared" si="79"/>
        <v>259439</v>
      </c>
      <c r="M325" s="111">
        <f t="shared" si="79"/>
        <v>100000</v>
      </c>
      <c r="N325" s="111">
        <f>+N326+N327+N328+N329+N330+N331+N332</f>
        <v>0</v>
      </c>
      <c r="O325" s="111">
        <f>+O326+O327+O328+O329+O330+O331+O332</f>
        <v>100000</v>
      </c>
      <c r="P325" s="98">
        <f t="shared" si="61"/>
        <v>-160219</v>
      </c>
      <c r="Q325" s="98">
        <f t="shared" si="62"/>
        <v>-780</v>
      </c>
      <c r="R325" s="98">
        <f t="shared" si="63"/>
        <v>-159439</v>
      </c>
      <c r="S325" s="98">
        <f t="shared" si="64"/>
        <v>100000</v>
      </c>
      <c r="T325" s="98">
        <f t="shared" si="65"/>
        <v>0</v>
      </c>
      <c r="U325" s="98">
        <f t="shared" si="66"/>
        <v>100000</v>
      </c>
      <c r="V325" s="98">
        <f t="shared" si="67"/>
        <v>100000</v>
      </c>
      <c r="W325" s="98">
        <f t="shared" si="68"/>
        <v>0</v>
      </c>
      <c r="X325" s="98">
        <f t="shared" si="69"/>
        <v>100000</v>
      </c>
      <c r="Y325" s="99"/>
      <c r="Z325" s="100"/>
    </row>
    <row r="326" spans="1:26" s="101" customFormat="1" ht="12" customHeight="1">
      <c r="A326" s="5"/>
      <c r="B326" s="6"/>
      <c r="C326" s="6"/>
      <c r="D326" s="82"/>
      <c r="E326" s="103" t="s">
        <v>382</v>
      </c>
      <c r="F326" s="26">
        <v>4111</v>
      </c>
      <c r="G326" s="98">
        <f t="shared" si="78"/>
        <v>0</v>
      </c>
      <c r="H326" s="111"/>
      <c r="I326" s="111"/>
      <c r="J326" s="98">
        <f t="shared" si="71"/>
        <v>180</v>
      </c>
      <c r="K326" s="111">
        <v>180</v>
      </c>
      <c r="L326" s="111"/>
      <c r="M326" s="98"/>
      <c r="N326" s="111"/>
      <c r="O326" s="111"/>
      <c r="P326" s="98">
        <f t="shared" si="61"/>
        <v>-180</v>
      </c>
      <c r="Q326" s="98">
        <f t="shared" si="62"/>
        <v>-180</v>
      </c>
      <c r="R326" s="98">
        <f t="shared" si="63"/>
        <v>0</v>
      </c>
      <c r="S326" s="98">
        <f t="shared" si="64"/>
        <v>0</v>
      </c>
      <c r="T326" s="98">
        <f t="shared" si="65"/>
        <v>0</v>
      </c>
      <c r="U326" s="98">
        <f t="shared" si="66"/>
        <v>0</v>
      </c>
      <c r="V326" s="98">
        <f t="shared" si="67"/>
        <v>0</v>
      </c>
      <c r="W326" s="98">
        <f t="shared" si="68"/>
        <v>0</v>
      </c>
      <c r="X326" s="98">
        <f t="shared" si="69"/>
        <v>0</v>
      </c>
      <c r="Y326" s="99"/>
      <c r="Z326" s="100"/>
    </row>
    <row r="327" spans="1:26" s="101" customFormat="1" ht="12" customHeight="1">
      <c r="A327" s="5"/>
      <c r="B327" s="6"/>
      <c r="C327" s="6"/>
      <c r="D327" s="82"/>
      <c r="E327" s="103" t="s">
        <v>473</v>
      </c>
      <c r="F327" s="26">
        <v>4639</v>
      </c>
      <c r="G327" s="98">
        <f t="shared" si="78"/>
        <v>2911</v>
      </c>
      <c r="H327" s="111">
        <v>2911</v>
      </c>
      <c r="I327" s="111"/>
      <c r="J327" s="98">
        <f t="shared" si="71"/>
        <v>600</v>
      </c>
      <c r="K327" s="111">
        <v>600</v>
      </c>
      <c r="L327" s="111"/>
      <c r="M327" s="98"/>
      <c r="N327" s="111"/>
      <c r="O327" s="111"/>
      <c r="P327" s="98">
        <f t="shared" si="61"/>
        <v>-600</v>
      </c>
      <c r="Q327" s="98">
        <f t="shared" si="62"/>
        <v>-600</v>
      </c>
      <c r="R327" s="98">
        <f t="shared" si="63"/>
        <v>0</v>
      </c>
      <c r="S327" s="98">
        <f t="shared" si="64"/>
        <v>0</v>
      </c>
      <c r="T327" s="98">
        <f t="shared" si="65"/>
        <v>0</v>
      </c>
      <c r="U327" s="98">
        <f t="shared" si="66"/>
        <v>0</v>
      </c>
      <c r="V327" s="98">
        <f t="shared" si="67"/>
        <v>0</v>
      </c>
      <c r="W327" s="98">
        <f t="shared" si="68"/>
        <v>0</v>
      </c>
      <c r="X327" s="98">
        <f t="shared" si="69"/>
        <v>0</v>
      </c>
      <c r="Y327" s="99"/>
      <c r="Z327" s="100"/>
    </row>
    <row r="328" spans="1:26" s="101" customFormat="1" ht="12" customHeight="1">
      <c r="A328" s="5"/>
      <c r="B328" s="6"/>
      <c r="C328" s="6"/>
      <c r="D328" s="82"/>
      <c r="E328" s="103" t="s">
        <v>731</v>
      </c>
      <c r="F328" s="26">
        <v>4823</v>
      </c>
      <c r="G328" s="98">
        <f t="shared" si="78"/>
        <v>4147.9</v>
      </c>
      <c r="H328" s="111">
        <v>4147.9</v>
      </c>
      <c r="I328" s="111"/>
      <c r="J328" s="98"/>
      <c r="K328" s="111"/>
      <c r="L328" s="111"/>
      <c r="M328" s="98"/>
      <c r="N328" s="111"/>
      <c r="O328" s="111"/>
      <c r="P328" s="98">
        <f t="shared" si="61"/>
        <v>0</v>
      </c>
      <c r="Q328" s="98">
        <f t="shared" si="62"/>
        <v>0</v>
      </c>
      <c r="R328" s="98">
        <f t="shared" si="63"/>
        <v>0</v>
      </c>
      <c r="S328" s="98">
        <f t="shared" si="64"/>
        <v>0</v>
      </c>
      <c r="T328" s="98">
        <f t="shared" si="65"/>
        <v>0</v>
      </c>
      <c r="U328" s="98">
        <f t="shared" si="66"/>
        <v>0</v>
      </c>
      <c r="V328" s="98">
        <f t="shared" si="67"/>
        <v>0</v>
      </c>
      <c r="W328" s="98">
        <f t="shared" si="68"/>
        <v>0</v>
      </c>
      <c r="X328" s="98">
        <f t="shared" si="69"/>
        <v>0</v>
      </c>
      <c r="Y328" s="99"/>
      <c r="Z328" s="100"/>
    </row>
    <row r="329" spans="1:26" ht="12.75" customHeight="1">
      <c r="A329" s="12"/>
      <c r="B329" s="14"/>
      <c r="C329" s="14"/>
      <c r="D329" s="102"/>
      <c r="E329" s="13" t="s">
        <v>521</v>
      </c>
      <c r="F329" s="26">
        <v>5112</v>
      </c>
      <c r="G329" s="98">
        <f t="shared" si="78"/>
        <v>71055.3</v>
      </c>
      <c r="H329" s="45"/>
      <c r="I329" s="45">
        <v>71055.3</v>
      </c>
      <c r="J329" s="98">
        <f t="shared" si="71"/>
        <v>161427</v>
      </c>
      <c r="K329" s="54"/>
      <c r="L329" s="54">
        <v>161427</v>
      </c>
      <c r="M329" s="98">
        <f t="shared" si="72"/>
        <v>0</v>
      </c>
      <c r="N329" s="45"/>
      <c r="O329" s="45"/>
      <c r="P329" s="98">
        <f t="shared" si="61"/>
        <v>-161427</v>
      </c>
      <c r="Q329" s="98">
        <f t="shared" si="62"/>
        <v>0</v>
      </c>
      <c r="R329" s="98">
        <f t="shared" si="63"/>
        <v>-161427</v>
      </c>
      <c r="S329" s="98">
        <f t="shared" si="64"/>
        <v>0</v>
      </c>
      <c r="T329" s="98">
        <f t="shared" si="65"/>
        <v>0</v>
      </c>
      <c r="U329" s="98">
        <f t="shared" si="66"/>
        <v>0</v>
      </c>
      <c r="V329" s="98">
        <f t="shared" si="67"/>
        <v>0</v>
      </c>
      <c r="W329" s="98">
        <f t="shared" si="68"/>
        <v>0</v>
      </c>
      <c r="X329" s="98">
        <f t="shared" si="69"/>
        <v>0</v>
      </c>
      <c r="Y329" s="104"/>
      <c r="Z329" s="105"/>
    </row>
    <row r="330" spans="1:26" ht="12.75" customHeight="1">
      <c r="A330" s="12"/>
      <c r="B330" s="14"/>
      <c r="C330" s="14"/>
      <c r="D330" s="102"/>
      <c r="E330" s="13" t="s">
        <v>523</v>
      </c>
      <c r="F330" s="26">
        <v>5113</v>
      </c>
      <c r="G330" s="98">
        <f t="shared" si="78"/>
        <v>213374.80000000002</v>
      </c>
      <c r="H330" s="45"/>
      <c r="I330" s="45">
        <f>29880.2+183494.6</f>
        <v>213374.80000000002</v>
      </c>
      <c r="J330" s="98">
        <f t="shared" si="71"/>
        <v>44964</v>
      </c>
      <c r="K330" s="54"/>
      <c r="L330" s="54">
        <f>43391+1573</f>
        <v>44964</v>
      </c>
      <c r="M330" s="98">
        <f t="shared" si="72"/>
        <v>0</v>
      </c>
      <c r="N330" s="45"/>
      <c r="O330" s="45"/>
      <c r="P330" s="98">
        <f t="shared" si="61"/>
        <v>-44964</v>
      </c>
      <c r="Q330" s="98">
        <f t="shared" si="62"/>
        <v>0</v>
      </c>
      <c r="R330" s="98">
        <f t="shared" si="63"/>
        <v>-44964</v>
      </c>
      <c r="S330" s="98">
        <f t="shared" si="64"/>
        <v>0</v>
      </c>
      <c r="T330" s="98">
        <f t="shared" si="65"/>
        <v>0</v>
      </c>
      <c r="U330" s="98">
        <f t="shared" si="66"/>
        <v>0</v>
      </c>
      <c r="V330" s="98">
        <f t="shared" si="67"/>
        <v>0</v>
      </c>
      <c r="W330" s="98">
        <f t="shared" si="68"/>
        <v>0</v>
      </c>
      <c r="X330" s="98">
        <f t="shared" si="69"/>
        <v>0</v>
      </c>
      <c r="Y330" s="104"/>
      <c r="Z330" s="105"/>
    </row>
    <row r="331" spans="1:26" ht="12.75" customHeight="1">
      <c r="A331" s="12"/>
      <c r="B331" s="14"/>
      <c r="C331" s="14"/>
      <c r="D331" s="102"/>
      <c r="E331" s="13" t="s">
        <v>529</v>
      </c>
      <c r="F331" s="26">
        <v>5122</v>
      </c>
      <c r="G331" s="98">
        <f t="shared" si="78"/>
        <v>0</v>
      </c>
      <c r="H331" s="45"/>
      <c r="I331" s="45"/>
      <c r="J331" s="98">
        <f t="shared" si="71"/>
        <v>50000</v>
      </c>
      <c r="K331" s="54"/>
      <c r="L331" s="54">
        <f>45000+5000</f>
        <v>50000</v>
      </c>
      <c r="M331" s="98">
        <f t="shared" si="72"/>
        <v>100000</v>
      </c>
      <c r="N331" s="45"/>
      <c r="O331" s="45">
        <v>100000</v>
      </c>
      <c r="P331" s="98">
        <f aca="true" t="shared" si="80" ref="P331:P394">+M331-J331</f>
        <v>50000</v>
      </c>
      <c r="Q331" s="98">
        <f aca="true" t="shared" si="81" ref="Q331:Q394">+N331-K331</f>
        <v>0</v>
      </c>
      <c r="R331" s="98">
        <f aca="true" t="shared" si="82" ref="R331:R394">+O331-L331</f>
        <v>50000</v>
      </c>
      <c r="S331" s="98">
        <f aca="true" t="shared" si="83" ref="S331:S394">+M331</f>
        <v>100000</v>
      </c>
      <c r="T331" s="98">
        <f aca="true" t="shared" si="84" ref="T331:T394">+N331</f>
        <v>0</v>
      </c>
      <c r="U331" s="98">
        <f aca="true" t="shared" si="85" ref="U331:U394">+O331</f>
        <v>100000</v>
      </c>
      <c r="V331" s="98">
        <f aca="true" t="shared" si="86" ref="V331:V394">+M331</f>
        <v>100000</v>
      </c>
      <c r="W331" s="98">
        <f aca="true" t="shared" si="87" ref="W331:W394">+N331</f>
        <v>0</v>
      </c>
      <c r="X331" s="98">
        <f aca="true" t="shared" si="88" ref="X331:X394">+O331</f>
        <v>100000</v>
      </c>
      <c r="Y331" s="104"/>
      <c r="Z331" s="105"/>
    </row>
    <row r="332" spans="1:26" ht="12.75" customHeight="1">
      <c r="A332" s="12"/>
      <c r="B332" s="14"/>
      <c r="C332" s="14"/>
      <c r="D332" s="102"/>
      <c r="E332" s="13" t="s">
        <v>538</v>
      </c>
      <c r="F332" s="26">
        <v>5134</v>
      </c>
      <c r="G332" s="98">
        <f t="shared" si="78"/>
        <v>1255</v>
      </c>
      <c r="H332" s="45"/>
      <c r="I332" s="45">
        <v>1255</v>
      </c>
      <c r="J332" s="98">
        <f t="shared" si="71"/>
        <v>3048</v>
      </c>
      <c r="K332" s="54"/>
      <c r="L332" s="54">
        <v>3048</v>
      </c>
      <c r="M332" s="98">
        <f t="shared" si="72"/>
        <v>0</v>
      </c>
      <c r="N332" s="45"/>
      <c r="O332" s="45"/>
      <c r="P332" s="98">
        <f t="shared" si="80"/>
        <v>-3048</v>
      </c>
      <c r="Q332" s="98">
        <f t="shared" si="81"/>
        <v>0</v>
      </c>
      <c r="R332" s="98">
        <f t="shared" si="82"/>
        <v>-3048</v>
      </c>
      <c r="S332" s="98">
        <f t="shared" si="83"/>
        <v>0</v>
      </c>
      <c r="T332" s="98">
        <f t="shared" si="84"/>
        <v>0</v>
      </c>
      <c r="U332" s="98">
        <f t="shared" si="85"/>
        <v>0</v>
      </c>
      <c r="V332" s="98">
        <f t="shared" si="86"/>
        <v>0</v>
      </c>
      <c r="W332" s="98">
        <f t="shared" si="87"/>
        <v>0</v>
      </c>
      <c r="X332" s="98">
        <f t="shared" si="88"/>
        <v>0</v>
      </c>
      <c r="Y332" s="104"/>
      <c r="Z332" s="105"/>
    </row>
    <row r="333" spans="1:26" s="101" customFormat="1" ht="32.25" customHeight="1">
      <c r="A333" s="5"/>
      <c r="B333" s="6"/>
      <c r="C333" s="6"/>
      <c r="D333" s="82"/>
      <c r="E333" s="106" t="s">
        <v>605</v>
      </c>
      <c r="F333" s="110"/>
      <c r="G333" s="98">
        <f t="shared" si="78"/>
        <v>54500</v>
      </c>
      <c r="H333" s="111">
        <f aca="true" t="shared" si="89" ref="H333:X333">+H334</f>
        <v>54500</v>
      </c>
      <c r="I333" s="111">
        <f t="shared" si="89"/>
        <v>0</v>
      </c>
      <c r="J333" s="98">
        <f t="shared" si="71"/>
        <v>55000</v>
      </c>
      <c r="K333" s="111">
        <f t="shared" si="89"/>
        <v>55000</v>
      </c>
      <c r="L333" s="111">
        <f t="shared" si="89"/>
        <v>0</v>
      </c>
      <c r="M333" s="98">
        <f t="shared" si="72"/>
        <v>55000</v>
      </c>
      <c r="N333" s="111">
        <f t="shared" si="89"/>
        <v>55000</v>
      </c>
      <c r="O333" s="111">
        <f t="shared" si="89"/>
        <v>0</v>
      </c>
      <c r="P333" s="98">
        <f t="shared" si="80"/>
        <v>0</v>
      </c>
      <c r="Q333" s="98">
        <f t="shared" si="81"/>
        <v>0</v>
      </c>
      <c r="R333" s="98">
        <f t="shared" si="82"/>
        <v>0</v>
      </c>
      <c r="S333" s="98">
        <f t="shared" si="83"/>
        <v>55000</v>
      </c>
      <c r="T333" s="98">
        <f t="shared" si="84"/>
        <v>55000</v>
      </c>
      <c r="U333" s="98">
        <f t="shared" si="85"/>
        <v>0</v>
      </c>
      <c r="V333" s="98">
        <f t="shared" si="86"/>
        <v>55000</v>
      </c>
      <c r="W333" s="98">
        <f t="shared" si="87"/>
        <v>55000</v>
      </c>
      <c r="X333" s="98">
        <f t="shared" si="88"/>
        <v>0</v>
      </c>
      <c r="Y333" s="99"/>
      <c r="Z333" s="100"/>
    </row>
    <row r="334" spans="1:26" ht="12.75" customHeight="1">
      <c r="A334" s="12"/>
      <c r="B334" s="14"/>
      <c r="C334" s="14"/>
      <c r="D334" s="102"/>
      <c r="E334" s="13" t="s">
        <v>455</v>
      </c>
      <c r="F334" s="26">
        <v>4511</v>
      </c>
      <c r="G334" s="98">
        <f t="shared" si="78"/>
        <v>54500</v>
      </c>
      <c r="H334" s="45">
        <v>54500</v>
      </c>
      <c r="I334" s="45"/>
      <c r="J334" s="98">
        <f t="shared" si="71"/>
        <v>55000</v>
      </c>
      <c r="K334" s="54">
        <v>55000</v>
      </c>
      <c r="L334" s="54"/>
      <c r="M334" s="98">
        <f t="shared" si="72"/>
        <v>55000</v>
      </c>
      <c r="N334" s="45">
        <v>55000</v>
      </c>
      <c r="O334" s="45"/>
      <c r="P334" s="98">
        <f t="shared" si="80"/>
        <v>0</v>
      </c>
      <c r="Q334" s="98">
        <f t="shared" si="81"/>
        <v>0</v>
      </c>
      <c r="R334" s="98">
        <f t="shared" si="82"/>
        <v>0</v>
      </c>
      <c r="S334" s="98">
        <f t="shared" si="83"/>
        <v>55000</v>
      </c>
      <c r="T334" s="98">
        <f t="shared" si="84"/>
        <v>55000</v>
      </c>
      <c r="U334" s="98">
        <f t="shared" si="85"/>
        <v>0</v>
      </c>
      <c r="V334" s="98">
        <f t="shared" si="86"/>
        <v>55000</v>
      </c>
      <c r="W334" s="98">
        <f t="shared" si="87"/>
        <v>55000</v>
      </c>
      <c r="X334" s="98">
        <f t="shared" si="88"/>
        <v>0</v>
      </c>
      <c r="Y334" s="104"/>
      <c r="Z334" s="105"/>
    </row>
    <row r="335" spans="1:26" ht="27" customHeight="1">
      <c r="A335" s="12"/>
      <c r="B335" s="14"/>
      <c r="C335" s="14"/>
      <c r="D335" s="102"/>
      <c r="E335" s="106" t="s">
        <v>606</v>
      </c>
      <c r="F335" s="26"/>
      <c r="G335" s="98">
        <f t="shared" si="78"/>
        <v>71167.8</v>
      </c>
      <c r="H335" s="54">
        <f>+H336+H337+H338</f>
        <v>70500</v>
      </c>
      <c r="I335" s="54">
        <f>+I336+I337+I338</f>
        <v>667.8</v>
      </c>
      <c r="J335" s="98">
        <f t="shared" si="71"/>
        <v>75000</v>
      </c>
      <c r="K335" s="54">
        <f>+K336+K338</f>
        <v>74000</v>
      </c>
      <c r="L335" s="54">
        <f>+L336+L338</f>
        <v>1000</v>
      </c>
      <c r="M335" s="98">
        <f t="shared" si="72"/>
        <v>74000</v>
      </c>
      <c r="N335" s="54">
        <f>+N336+N337+N338</f>
        <v>74000</v>
      </c>
      <c r="O335" s="54">
        <f>+O336+O337+O338</f>
        <v>0</v>
      </c>
      <c r="P335" s="98">
        <f t="shared" si="80"/>
        <v>-1000</v>
      </c>
      <c r="Q335" s="98">
        <f t="shared" si="81"/>
        <v>0</v>
      </c>
      <c r="R335" s="98">
        <f t="shared" si="82"/>
        <v>-1000</v>
      </c>
      <c r="S335" s="98">
        <f t="shared" si="83"/>
        <v>74000</v>
      </c>
      <c r="T335" s="98">
        <f t="shared" si="84"/>
        <v>74000</v>
      </c>
      <c r="U335" s="98">
        <f t="shared" si="85"/>
        <v>0</v>
      </c>
      <c r="V335" s="98">
        <f t="shared" si="86"/>
        <v>74000</v>
      </c>
      <c r="W335" s="98">
        <f t="shared" si="87"/>
        <v>74000</v>
      </c>
      <c r="X335" s="98">
        <f t="shared" si="88"/>
        <v>0</v>
      </c>
      <c r="Y335" s="104"/>
      <c r="Z335" s="105"/>
    </row>
    <row r="336" spans="1:26" ht="12.75" customHeight="1">
      <c r="A336" s="12"/>
      <c r="B336" s="14"/>
      <c r="C336" s="14"/>
      <c r="D336" s="102"/>
      <c r="E336" s="13" t="s">
        <v>455</v>
      </c>
      <c r="F336" s="26">
        <v>4511</v>
      </c>
      <c r="G336" s="98">
        <f t="shared" si="78"/>
        <v>70500</v>
      </c>
      <c r="H336" s="45">
        <v>70500</v>
      </c>
      <c r="I336" s="45"/>
      <c r="J336" s="98">
        <f t="shared" si="71"/>
        <v>74000</v>
      </c>
      <c r="K336" s="54">
        <v>74000</v>
      </c>
      <c r="L336" s="54"/>
      <c r="M336" s="98">
        <f t="shared" si="72"/>
        <v>74000</v>
      </c>
      <c r="N336" s="45">
        <v>74000</v>
      </c>
      <c r="O336" s="45"/>
      <c r="P336" s="98">
        <f t="shared" si="80"/>
        <v>0</v>
      </c>
      <c r="Q336" s="98">
        <f t="shared" si="81"/>
        <v>0</v>
      </c>
      <c r="R336" s="98">
        <f t="shared" si="82"/>
        <v>0</v>
      </c>
      <c r="S336" s="98">
        <f t="shared" si="83"/>
        <v>74000</v>
      </c>
      <c r="T336" s="98">
        <f t="shared" si="84"/>
        <v>74000</v>
      </c>
      <c r="U336" s="98">
        <f t="shared" si="85"/>
        <v>0</v>
      </c>
      <c r="V336" s="98">
        <f t="shared" si="86"/>
        <v>74000</v>
      </c>
      <c r="W336" s="98">
        <f t="shared" si="87"/>
        <v>74000</v>
      </c>
      <c r="X336" s="98">
        <f t="shared" si="88"/>
        <v>0</v>
      </c>
      <c r="Y336" s="104"/>
      <c r="Z336" s="105"/>
    </row>
    <row r="337" spans="1:26" ht="12.75" customHeight="1">
      <c r="A337" s="12"/>
      <c r="B337" s="14"/>
      <c r="C337" s="14"/>
      <c r="D337" s="102"/>
      <c r="E337" s="13" t="s">
        <v>732</v>
      </c>
      <c r="F337" s="26">
        <v>5113</v>
      </c>
      <c r="G337" s="98">
        <f t="shared" si="78"/>
        <v>667.8</v>
      </c>
      <c r="H337" s="45"/>
      <c r="I337" s="45">
        <v>667.8</v>
      </c>
      <c r="J337" s="98"/>
      <c r="K337" s="54"/>
      <c r="L337" s="54"/>
      <c r="M337" s="98"/>
      <c r="N337" s="45"/>
      <c r="O337" s="45"/>
      <c r="P337" s="98">
        <f t="shared" si="80"/>
        <v>0</v>
      </c>
      <c r="Q337" s="98">
        <f t="shared" si="81"/>
        <v>0</v>
      </c>
      <c r="R337" s="98">
        <f t="shared" si="82"/>
        <v>0</v>
      </c>
      <c r="S337" s="98">
        <f t="shared" si="83"/>
        <v>0</v>
      </c>
      <c r="T337" s="98">
        <f t="shared" si="84"/>
        <v>0</v>
      </c>
      <c r="U337" s="98">
        <f t="shared" si="85"/>
        <v>0</v>
      </c>
      <c r="V337" s="98">
        <f t="shared" si="86"/>
        <v>0</v>
      </c>
      <c r="W337" s="98">
        <f t="shared" si="87"/>
        <v>0</v>
      </c>
      <c r="X337" s="98">
        <f t="shared" si="88"/>
        <v>0</v>
      </c>
      <c r="Y337" s="104"/>
      <c r="Z337" s="105"/>
    </row>
    <row r="338" spans="1:26" ht="12.75" customHeight="1">
      <c r="A338" s="12"/>
      <c r="B338" s="14"/>
      <c r="C338" s="14"/>
      <c r="D338" s="102"/>
      <c r="E338" s="13" t="s">
        <v>538</v>
      </c>
      <c r="F338" s="26">
        <v>5134</v>
      </c>
      <c r="G338" s="98">
        <f t="shared" si="78"/>
        <v>0</v>
      </c>
      <c r="H338" s="45"/>
      <c r="I338" s="45"/>
      <c r="J338" s="98">
        <f t="shared" si="71"/>
        <v>1000</v>
      </c>
      <c r="K338" s="54"/>
      <c r="L338" s="54">
        <v>1000</v>
      </c>
      <c r="M338" s="98">
        <f t="shared" si="72"/>
        <v>0</v>
      </c>
      <c r="N338" s="45"/>
      <c r="O338" s="45"/>
      <c r="P338" s="98">
        <f t="shared" si="80"/>
        <v>-1000</v>
      </c>
      <c r="Q338" s="98">
        <f t="shared" si="81"/>
        <v>0</v>
      </c>
      <c r="R338" s="98">
        <f t="shared" si="82"/>
        <v>-1000</v>
      </c>
      <c r="S338" s="98">
        <f t="shared" si="83"/>
        <v>0</v>
      </c>
      <c r="T338" s="98">
        <f t="shared" si="84"/>
        <v>0</v>
      </c>
      <c r="U338" s="98">
        <f t="shared" si="85"/>
        <v>0</v>
      </c>
      <c r="V338" s="98">
        <f t="shared" si="86"/>
        <v>0</v>
      </c>
      <c r="W338" s="98">
        <f t="shared" si="87"/>
        <v>0</v>
      </c>
      <c r="X338" s="98">
        <f t="shared" si="88"/>
        <v>0</v>
      </c>
      <c r="Y338" s="104"/>
      <c r="Z338" s="105"/>
    </row>
    <row r="339" spans="1:26" ht="12.75" customHeight="1">
      <c r="A339" s="12"/>
      <c r="B339" s="14"/>
      <c r="C339" s="14"/>
      <c r="D339" s="102"/>
      <c r="E339" s="106" t="s">
        <v>607</v>
      </c>
      <c r="F339" s="26"/>
      <c r="G339" s="98">
        <f t="shared" si="78"/>
        <v>53400</v>
      </c>
      <c r="H339" s="54">
        <f aca="true" t="shared" si="90" ref="H339:X339">+H340</f>
        <v>53400</v>
      </c>
      <c r="I339" s="54">
        <f t="shared" si="90"/>
        <v>0</v>
      </c>
      <c r="J339" s="98">
        <f t="shared" si="71"/>
        <v>51000</v>
      </c>
      <c r="K339" s="54">
        <f t="shared" si="90"/>
        <v>51000</v>
      </c>
      <c r="L339" s="54">
        <f t="shared" si="90"/>
        <v>0</v>
      </c>
      <c r="M339" s="98">
        <f t="shared" si="72"/>
        <v>55000</v>
      </c>
      <c r="N339" s="54">
        <f t="shared" si="90"/>
        <v>55000</v>
      </c>
      <c r="O339" s="54">
        <f t="shared" si="90"/>
        <v>0</v>
      </c>
      <c r="P339" s="98">
        <f t="shared" si="80"/>
        <v>4000</v>
      </c>
      <c r="Q339" s="98">
        <f t="shared" si="81"/>
        <v>4000</v>
      </c>
      <c r="R339" s="98">
        <f t="shared" si="82"/>
        <v>0</v>
      </c>
      <c r="S339" s="98">
        <f t="shared" si="83"/>
        <v>55000</v>
      </c>
      <c r="T339" s="98">
        <f t="shared" si="84"/>
        <v>55000</v>
      </c>
      <c r="U339" s="98">
        <f t="shared" si="85"/>
        <v>0</v>
      </c>
      <c r="V339" s="98">
        <f t="shared" si="86"/>
        <v>55000</v>
      </c>
      <c r="W339" s="98">
        <f t="shared" si="87"/>
        <v>55000</v>
      </c>
      <c r="X339" s="98">
        <f t="shared" si="88"/>
        <v>0</v>
      </c>
      <c r="Y339" s="104"/>
      <c r="Z339" s="105"/>
    </row>
    <row r="340" spans="1:26" ht="12.75" customHeight="1">
      <c r="A340" s="12"/>
      <c r="B340" s="14"/>
      <c r="C340" s="14"/>
      <c r="D340" s="102"/>
      <c r="E340" s="13" t="s">
        <v>455</v>
      </c>
      <c r="F340" s="26">
        <v>4511</v>
      </c>
      <c r="G340" s="98">
        <f t="shared" si="78"/>
        <v>53400</v>
      </c>
      <c r="H340" s="45">
        <v>53400</v>
      </c>
      <c r="I340" s="45"/>
      <c r="J340" s="98">
        <f t="shared" si="71"/>
        <v>51000</v>
      </c>
      <c r="K340" s="54">
        <v>51000</v>
      </c>
      <c r="L340" s="54"/>
      <c r="M340" s="98">
        <f t="shared" si="72"/>
        <v>55000</v>
      </c>
      <c r="N340" s="45">
        <v>55000</v>
      </c>
      <c r="O340" s="45"/>
      <c r="P340" s="98">
        <f t="shared" si="80"/>
        <v>4000</v>
      </c>
      <c r="Q340" s="98">
        <f t="shared" si="81"/>
        <v>4000</v>
      </c>
      <c r="R340" s="98">
        <f t="shared" si="82"/>
        <v>0</v>
      </c>
      <c r="S340" s="98">
        <f t="shared" si="83"/>
        <v>55000</v>
      </c>
      <c r="T340" s="98">
        <f t="shared" si="84"/>
        <v>55000</v>
      </c>
      <c r="U340" s="98">
        <f t="shared" si="85"/>
        <v>0</v>
      </c>
      <c r="V340" s="98">
        <f t="shared" si="86"/>
        <v>55000</v>
      </c>
      <c r="W340" s="98">
        <f t="shared" si="87"/>
        <v>55000</v>
      </c>
      <c r="X340" s="98">
        <f t="shared" si="88"/>
        <v>0</v>
      </c>
      <c r="Y340" s="104"/>
      <c r="Z340" s="105"/>
    </row>
    <row r="341" spans="1:26" ht="12.75" customHeight="1">
      <c r="A341" s="12"/>
      <c r="B341" s="14"/>
      <c r="C341" s="14"/>
      <c r="D341" s="102"/>
      <c r="E341" s="106" t="s">
        <v>608</v>
      </c>
      <c r="F341" s="26"/>
      <c r="G341" s="98">
        <f t="shared" si="78"/>
        <v>58000</v>
      </c>
      <c r="H341" s="54">
        <f aca="true" t="shared" si="91" ref="H341:X341">+H342</f>
        <v>58000</v>
      </c>
      <c r="I341" s="54">
        <f t="shared" si="91"/>
        <v>0</v>
      </c>
      <c r="J341" s="98">
        <f t="shared" si="71"/>
        <v>58000</v>
      </c>
      <c r="K341" s="54">
        <f t="shared" si="91"/>
        <v>58000</v>
      </c>
      <c r="L341" s="54">
        <f t="shared" si="91"/>
        <v>0</v>
      </c>
      <c r="M341" s="98">
        <f t="shared" si="72"/>
        <v>66000</v>
      </c>
      <c r="N341" s="54">
        <f t="shared" si="91"/>
        <v>66000</v>
      </c>
      <c r="O341" s="54">
        <f t="shared" si="91"/>
        <v>0</v>
      </c>
      <c r="P341" s="98">
        <f t="shared" si="80"/>
        <v>8000</v>
      </c>
      <c r="Q341" s="98">
        <f t="shared" si="81"/>
        <v>8000</v>
      </c>
      <c r="R341" s="98">
        <f t="shared" si="82"/>
        <v>0</v>
      </c>
      <c r="S341" s="98">
        <f t="shared" si="83"/>
        <v>66000</v>
      </c>
      <c r="T341" s="98">
        <f t="shared" si="84"/>
        <v>66000</v>
      </c>
      <c r="U341" s="98">
        <f t="shared" si="85"/>
        <v>0</v>
      </c>
      <c r="V341" s="98">
        <f t="shared" si="86"/>
        <v>66000</v>
      </c>
      <c r="W341" s="98">
        <f t="shared" si="87"/>
        <v>66000</v>
      </c>
      <c r="X341" s="98">
        <f t="shared" si="88"/>
        <v>0</v>
      </c>
      <c r="Y341" s="104"/>
      <c r="Z341" s="105"/>
    </row>
    <row r="342" spans="1:26" ht="12.75" customHeight="1">
      <c r="A342" s="12"/>
      <c r="B342" s="14"/>
      <c r="C342" s="14"/>
      <c r="D342" s="102"/>
      <c r="E342" s="13" t="s">
        <v>455</v>
      </c>
      <c r="F342" s="26">
        <v>4511</v>
      </c>
      <c r="G342" s="98">
        <f t="shared" si="78"/>
        <v>58000</v>
      </c>
      <c r="H342" s="45">
        <v>58000</v>
      </c>
      <c r="I342" s="45"/>
      <c r="J342" s="98">
        <f t="shared" si="71"/>
        <v>58000</v>
      </c>
      <c r="K342" s="54">
        <v>58000</v>
      </c>
      <c r="L342" s="54"/>
      <c r="M342" s="98">
        <f t="shared" si="72"/>
        <v>66000</v>
      </c>
      <c r="N342" s="45">
        <v>66000</v>
      </c>
      <c r="O342" s="45"/>
      <c r="P342" s="98">
        <f t="shared" si="80"/>
        <v>8000</v>
      </c>
      <c r="Q342" s="98">
        <f t="shared" si="81"/>
        <v>8000</v>
      </c>
      <c r="R342" s="98">
        <f t="shared" si="82"/>
        <v>0</v>
      </c>
      <c r="S342" s="98">
        <f t="shared" si="83"/>
        <v>66000</v>
      </c>
      <c r="T342" s="98">
        <f t="shared" si="84"/>
        <v>66000</v>
      </c>
      <c r="U342" s="98">
        <f t="shared" si="85"/>
        <v>0</v>
      </c>
      <c r="V342" s="98">
        <f t="shared" si="86"/>
        <v>66000</v>
      </c>
      <c r="W342" s="98">
        <f t="shared" si="87"/>
        <v>66000</v>
      </c>
      <c r="X342" s="98">
        <f t="shared" si="88"/>
        <v>0</v>
      </c>
      <c r="Y342" s="104"/>
      <c r="Z342" s="105"/>
    </row>
    <row r="343" spans="1:26" ht="12.75" customHeight="1">
      <c r="A343" s="12"/>
      <c r="B343" s="14"/>
      <c r="C343" s="14"/>
      <c r="D343" s="102"/>
      <c r="E343" s="106" t="s">
        <v>609</v>
      </c>
      <c r="F343" s="26"/>
      <c r="G343" s="98">
        <f t="shared" si="78"/>
        <v>73500</v>
      </c>
      <c r="H343" s="54">
        <f aca="true" t="shared" si="92" ref="H343:X343">+H344</f>
        <v>73500</v>
      </c>
      <c r="I343" s="54">
        <f t="shared" si="92"/>
        <v>0</v>
      </c>
      <c r="J343" s="98">
        <f t="shared" si="71"/>
        <v>74000</v>
      </c>
      <c r="K343" s="54">
        <f t="shared" si="92"/>
        <v>74000</v>
      </c>
      <c r="L343" s="54">
        <f t="shared" si="92"/>
        <v>0</v>
      </c>
      <c r="M343" s="98">
        <f t="shared" si="72"/>
        <v>78000</v>
      </c>
      <c r="N343" s="54">
        <f t="shared" si="92"/>
        <v>78000</v>
      </c>
      <c r="O343" s="54">
        <f t="shared" si="92"/>
        <v>0</v>
      </c>
      <c r="P343" s="98">
        <f t="shared" si="80"/>
        <v>4000</v>
      </c>
      <c r="Q343" s="98">
        <f t="shared" si="81"/>
        <v>4000</v>
      </c>
      <c r="R343" s="98">
        <f t="shared" si="82"/>
        <v>0</v>
      </c>
      <c r="S343" s="98">
        <f t="shared" si="83"/>
        <v>78000</v>
      </c>
      <c r="T343" s="98">
        <f t="shared" si="84"/>
        <v>78000</v>
      </c>
      <c r="U343" s="98">
        <f t="shared" si="85"/>
        <v>0</v>
      </c>
      <c r="V343" s="98">
        <f t="shared" si="86"/>
        <v>78000</v>
      </c>
      <c r="W343" s="98">
        <f t="shared" si="87"/>
        <v>78000</v>
      </c>
      <c r="X343" s="98">
        <f t="shared" si="88"/>
        <v>0</v>
      </c>
      <c r="Y343" s="104"/>
      <c r="Z343" s="105"/>
    </row>
    <row r="344" spans="1:26" ht="12.75" customHeight="1">
      <c r="A344" s="12"/>
      <c r="B344" s="14"/>
      <c r="C344" s="14"/>
      <c r="D344" s="102"/>
      <c r="E344" s="13" t="s">
        <v>455</v>
      </c>
      <c r="F344" s="26">
        <v>4511</v>
      </c>
      <c r="G344" s="98">
        <f t="shared" si="78"/>
        <v>73500</v>
      </c>
      <c r="H344" s="45">
        <v>73500</v>
      </c>
      <c r="I344" s="45"/>
      <c r="J344" s="98">
        <f t="shared" si="71"/>
        <v>74000</v>
      </c>
      <c r="K344" s="54">
        <v>74000</v>
      </c>
      <c r="L344" s="54"/>
      <c r="M344" s="98">
        <f t="shared" si="72"/>
        <v>78000</v>
      </c>
      <c r="N344" s="45">
        <v>78000</v>
      </c>
      <c r="O344" s="45"/>
      <c r="P344" s="98">
        <f t="shared" si="80"/>
        <v>4000</v>
      </c>
      <c r="Q344" s="98">
        <f t="shared" si="81"/>
        <v>4000</v>
      </c>
      <c r="R344" s="98">
        <f t="shared" si="82"/>
        <v>0</v>
      </c>
      <c r="S344" s="98">
        <f t="shared" si="83"/>
        <v>78000</v>
      </c>
      <c r="T344" s="98">
        <f t="shared" si="84"/>
        <v>78000</v>
      </c>
      <c r="U344" s="98">
        <f t="shared" si="85"/>
        <v>0</v>
      </c>
      <c r="V344" s="98">
        <f t="shared" si="86"/>
        <v>78000</v>
      </c>
      <c r="W344" s="98">
        <f t="shared" si="87"/>
        <v>78000</v>
      </c>
      <c r="X344" s="98">
        <f t="shared" si="88"/>
        <v>0</v>
      </c>
      <c r="Y344" s="104"/>
      <c r="Z344" s="105"/>
    </row>
    <row r="345" spans="1:26" ht="12.75" customHeight="1">
      <c r="A345" s="12"/>
      <c r="B345" s="14"/>
      <c r="C345" s="14"/>
      <c r="D345" s="102"/>
      <c r="E345" s="106" t="s">
        <v>610</v>
      </c>
      <c r="F345" s="26"/>
      <c r="G345" s="98">
        <f t="shared" si="78"/>
        <v>58799.9</v>
      </c>
      <c r="H345" s="54">
        <f>+H346+H347</f>
        <v>58799.9</v>
      </c>
      <c r="I345" s="54">
        <f>+I346+I347</f>
        <v>0</v>
      </c>
      <c r="J345" s="98">
        <f t="shared" si="71"/>
        <v>62000</v>
      </c>
      <c r="K345" s="54">
        <f>+K347</f>
        <v>62000</v>
      </c>
      <c r="L345" s="54">
        <f>+L347</f>
        <v>0</v>
      </c>
      <c r="M345" s="98">
        <f t="shared" si="72"/>
        <v>62000</v>
      </c>
      <c r="N345" s="54">
        <f>+N346+N347</f>
        <v>62000</v>
      </c>
      <c r="O345" s="54">
        <f>+O346+O347</f>
        <v>0</v>
      </c>
      <c r="P345" s="98">
        <f t="shared" si="80"/>
        <v>0</v>
      </c>
      <c r="Q345" s="98">
        <f t="shared" si="81"/>
        <v>0</v>
      </c>
      <c r="R345" s="98">
        <f t="shared" si="82"/>
        <v>0</v>
      </c>
      <c r="S345" s="98">
        <f t="shared" si="83"/>
        <v>62000</v>
      </c>
      <c r="T345" s="98">
        <f t="shared" si="84"/>
        <v>62000</v>
      </c>
      <c r="U345" s="98">
        <f t="shared" si="85"/>
        <v>0</v>
      </c>
      <c r="V345" s="98">
        <f t="shared" si="86"/>
        <v>62000</v>
      </c>
      <c r="W345" s="98">
        <f t="shared" si="87"/>
        <v>62000</v>
      </c>
      <c r="X345" s="98">
        <f t="shared" si="88"/>
        <v>0</v>
      </c>
      <c r="Y345" s="104"/>
      <c r="Z345" s="105"/>
    </row>
    <row r="346" spans="1:26" ht="12.75" customHeight="1">
      <c r="A346" s="12"/>
      <c r="B346" s="14"/>
      <c r="C346" s="14"/>
      <c r="D346" s="102"/>
      <c r="E346" s="13" t="s">
        <v>733</v>
      </c>
      <c r="F346" s="26">
        <v>4216</v>
      </c>
      <c r="G346" s="98">
        <f t="shared" si="78"/>
        <v>2999.9</v>
      </c>
      <c r="H346" s="54">
        <v>2999.9</v>
      </c>
      <c r="I346" s="54"/>
      <c r="J346" s="98"/>
      <c r="K346" s="54"/>
      <c r="L346" s="54"/>
      <c r="M346" s="98"/>
      <c r="N346" s="54"/>
      <c r="O346" s="54"/>
      <c r="P346" s="98">
        <f t="shared" si="80"/>
        <v>0</v>
      </c>
      <c r="Q346" s="98">
        <f t="shared" si="81"/>
        <v>0</v>
      </c>
      <c r="R346" s="98">
        <f t="shared" si="82"/>
        <v>0</v>
      </c>
      <c r="S346" s="98">
        <f t="shared" si="83"/>
        <v>0</v>
      </c>
      <c r="T346" s="98">
        <f t="shared" si="84"/>
        <v>0</v>
      </c>
      <c r="U346" s="98">
        <f t="shared" si="85"/>
        <v>0</v>
      </c>
      <c r="V346" s="98">
        <f t="shared" si="86"/>
        <v>0</v>
      </c>
      <c r="W346" s="98">
        <f t="shared" si="87"/>
        <v>0</v>
      </c>
      <c r="X346" s="98">
        <f t="shared" si="88"/>
        <v>0</v>
      </c>
      <c r="Y346" s="104"/>
      <c r="Z346" s="105"/>
    </row>
    <row r="347" spans="1:26" ht="12.75" customHeight="1">
      <c r="A347" s="12"/>
      <c r="B347" s="14"/>
      <c r="C347" s="14"/>
      <c r="D347" s="102"/>
      <c r="E347" s="13" t="s">
        <v>455</v>
      </c>
      <c r="F347" s="26">
        <v>4511</v>
      </c>
      <c r="G347" s="98">
        <f t="shared" si="78"/>
        <v>55800</v>
      </c>
      <c r="H347" s="45">
        <v>55800</v>
      </c>
      <c r="I347" s="45"/>
      <c r="J347" s="98">
        <f t="shared" si="71"/>
        <v>62000</v>
      </c>
      <c r="K347" s="54">
        <v>62000</v>
      </c>
      <c r="L347" s="54"/>
      <c r="M347" s="98">
        <f t="shared" si="72"/>
        <v>62000</v>
      </c>
      <c r="N347" s="45">
        <v>62000</v>
      </c>
      <c r="O347" s="45"/>
      <c r="P347" s="98">
        <f t="shared" si="80"/>
        <v>0</v>
      </c>
      <c r="Q347" s="98">
        <f t="shared" si="81"/>
        <v>0</v>
      </c>
      <c r="R347" s="98">
        <f t="shared" si="82"/>
        <v>0</v>
      </c>
      <c r="S347" s="98">
        <f t="shared" si="83"/>
        <v>62000</v>
      </c>
      <c r="T347" s="98">
        <f t="shared" si="84"/>
        <v>62000</v>
      </c>
      <c r="U347" s="98">
        <f t="shared" si="85"/>
        <v>0</v>
      </c>
      <c r="V347" s="98">
        <f t="shared" si="86"/>
        <v>62000</v>
      </c>
      <c r="W347" s="98">
        <f t="shared" si="87"/>
        <v>62000</v>
      </c>
      <c r="X347" s="98">
        <f t="shared" si="88"/>
        <v>0</v>
      </c>
      <c r="Y347" s="104"/>
      <c r="Z347" s="105"/>
    </row>
    <row r="348" spans="1:26" ht="12.75" customHeight="1">
      <c r="A348" s="12"/>
      <c r="B348" s="14"/>
      <c r="C348" s="14"/>
      <c r="D348" s="102"/>
      <c r="E348" s="106" t="s">
        <v>611</v>
      </c>
      <c r="F348" s="26"/>
      <c r="G348" s="98">
        <f t="shared" si="78"/>
        <v>98500</v>
      </c>
      <c r="H348" s="54">
        <f aca="true" t="shared" si="93" ref="H348:X348">+H349</f>
        <v>98500</v>
      </c>
      <c r="I348" s="54">
        <f t="shared" si="93"/>
        <v>0</v>
      </c>
      <c r="J348" s="98">
        <f t="shared" si="71"/>
        <v>115000</v>
      </c>
      <c r="K348" s="54">
        <f t="shared" si="93"/>
        <v>115000</v>
      </c>
      <c r="L348" s="54">
        <f t="shared" si="93"/>
        <v>0</v>
      </c>
      <c r="M348" s="98">
        <f t="shared" si="72"/>
        <v>115000</v>
      </c>
      <c r="N348" s="54">
        <f t="shared" si="93"/>
        <v>115000</v>
      </c>
      <c r="O348" s="54">
        <f t="shared" si="93"/>
        <v>0</v>
      </c>
      <c r="P348" s="98">
        <f t="shared" si="80"/>
        <v>0</v>
      </c>
      <c r="Q348" s="98">
        <f t="shared" si="81"/>
        <v>0</v>
      </c>
      <c r="R348" s="98">
        <f t="shared" si="82"/>
        <v>0</v>
      </c>
      <c r="S348" s="98">
        <f t="shared" si="83"/>
        <v>115000</v>
      </c>
      <c r="T348" s="98">
        <f t="shared" si="84"/>
        <v>115000</v>
      </c>
      <c r="U348" s="98">
        <f t="shared" si="85"/>
        <v>0</v>
      </c>
      <c r="V348" s="98">
        <f t="shared" si="86"/>
        <v>115000</v>
      </c>
      <c r="W348" s="98">
        <f t="shared" si="87"/>
        <v>115000</v>
      </c>
      <c r="X348" s="98">
        <f t="shared" si="88"/>
        <v>0</v>
      </c>
      <c r="Y348" s="104"/>
      <c r="Z348" s="105"/>
    </row>
    <row r="349" spans="1:26" ht="12.75" customHeight="1">
      <c r="A349" s="12"/>
      <c r="B349" s="14"/>
      <c r="C349" s="14"/>
      <c r="D349" s="102"/>
      <c r="E349" s="13" t="s">
        <v>455</v>
      </c>
      <c r="F349" s="26">
        <v>4511</v>
      </c>
      <c r="G349" s="98">
        <f t="shared" si="78"/>
        <v>98500</v>
      </c>
      <c r="H349" s="45">
        <v>98500</v>
      </c>
      <c r="I349" s="45"/>
      <c r="J349" s="98">
        <f t="shared" si="71"/>
        <v>115000</v>
      </c>
      <c r="K349" s="54">
        <v>115000</v>
      </c>
      <c r="L349" s="54"/>
      <c r="M349" s="98">
        <f t="shared" si="72"/>
        <v>115000</v>
      </c>
      <c r="N349" s="45">
        <v>115000</v>
      </c>
      <c r="O349" s="45"/>
      <c r="P349" s="98">
        <f t="shared" si="80"/>
        <v>0</v>
      </c>
      <c r="Q349" s="98">
        <f t="shared" si="81"/>
        <v>0</v>
      </c>
      <c r="R349" s="98">
        <f t="shared" si="82"/>
        <v>0</v>
      </c>
      <c r="S349" s="98">
        <f t="shared" si="83"/>
        <v>115000</v>
      </c>
      <c r="T349" s="98">
        <f t="shared" si="84"/>
        <v>115000</v>
      </c>
      <c r="U349" s="98">
        <f t="shared" si="85"/>
        <v>0</v>
      </c>
      <c r="V349" s="98">
        <f t="shared" si="86"/>
        <v>115000</v>
      </c>
      <c r="W349" s="98">
        <f t="shared" si="87"/>
        <v>115000</v>
      </c>
      <c r="X349" s="98">
        <f t="shared" si="88"/>
        <v>0</v>
      </c>
      <c r="Y349" s="104"/>
      <c r="Z349" s="105"/>
    </row>
    <row r="350" spans="1:26" ht="12.75" customHeight="1">
      <c r="A350" s="12"/>
      <c r="B350" s="14"/>
      <c r="C350" s="14"/>
      <c r="D350" s="102"/>
      <c r="E350" s="106" t="s">
        <v>612</v>
      </c>
      <c r="F350" s="26"/>
      <c r="G350" s="98">
        <f t="shared" si="78"/>
        <v>48000</v>
      </c>
      <c r="H350" s="54">
        <f aca="true" t="shared" si="94" ref="H350:X350">+H351</f>
        <v>48000</v>
      </c>
      <c r="I350" s="54">
        <f t="shared" si="94"/>
        <v>0</v>
      </c>
      <c r="J350" s="98">
        <f t="shared" si="71"/>
        <v>48000</v>
      </c>
      <c r="K350" s="54">
        <f t="shared" si="94"/>
        <v>48000</v>
      </c>
      <c r="L350" s="54">
        <f t="shared" si="94"/>
        <v>0</v>
      </c>
      <c r="M350" s="98">
        <f t="shared" si="72"/>
        <v>48000</v>
      </c>
      <c r="N350" s="54">
        <f t="shared" si="94"/>
        <v>48000</v>
      </c>
      <c r="O350" s="54">
        <f t="shared" si="94"/>
        <v>0</v>
      </c>
      <c r="P350" s="98">
        <f t="shared" si="80"/>
        <v>0</v>
      </c>
      <c r="Q350" s="98">
        <f t="shared" si="81"/>
        <v>0</v>
      </c>
      <c r="R350" s="98">
        <f t="shared" si="82"/>
        <v>0</v>
      </c>
      <c r="S350" s="98">
        <f t="shared" si="83"/>
        <v>48000</v>
      </c>
      <c r="T350" s="98">
        <f t="shared" si="84"/>
        <v>48000</v>
      </c>
      <c r="U350" s="98">
        <f t="shared" si="85"/>
        <v>0</v>
      </c>
      <c r="V350" s="98">
        <f t="shared" si="86"/>
        <v>48000</v>
      </c>
      <c r="W350" s="98">
        <f t="shared" si="87"/>
        <v>48000</v>
      </c>
      <c r="X350" s="98">
        <f t="shared" si="88"/>
        <v>0</v>
      </c>
      <c r="Y350" s="104"/>
      <c r="Z350" s="105"/>
    </row>
    <row r="351" spans="1:26" ht="12.75" customHeight="1">
      <c r="A351" s="12"/>
      <c r="B351" s="14"/>
      <c r="C351" s="14"/>
      <c r="D351" s="102"/>
      <c r="E351" s="13" t="s">
        <v>455</v>
      </c>
      <c r="F351" s="26">
        <v>4511</v>
      </c>
      <c r="G351" s="98">
        <f t="shared" si="78"/>
        <v>48000</v>
      </c>
      <c r="H351" s="45">
        <v>48000</v>
      </c>
      <c r="I351" s="45"/>
      <c r="J351" s="98">
        <f aca="true" t="shared" si="95" ref="J351:J415">+K351+L351</f>
        <v>48000</v>
      </c>
      <c r="K351" s="54">
        <v>48000</v>
      </c>
      <c r="L351" s="54"/>
      <c r="M351" s="98">
        <f aca="true" t="shared" si="96" ref="M351:M415">+N351+O351</f>
        <v>48000</v>
      </c>
      <c r="N351" s="45">
        <v>48000</v>
      </c>
      <c r="O351" s="45"/>
      <c r="P351" s="98">
        <f t="shared" si="80"/>
        <v>0</v>
      </c>
      <c r="Q351" s="98">
        <f t="shared" si="81"/>
        <v>0</v>
      </c>
      <c r="R351" s="98">
        <f t="shared" si="82"/>
        <v>0</v>
      </c>
      <c r="S351" s="98">
        <f t="shared" si="83"/>
        <v>48000</v>
      </c>
      <c r="T351" s="98">
        <f t="shared" si="84"/>
        <v>48000</v>
      </c>
      <c r="U351" s="98">
        <f t="shared" si="85"/>
        <v>0</v>
      </c>
      <c r="V351" s="98">
        <f t="shared" si="86"/>
        <v>48000</v>
      </c>
      <c r="W351" s="98">
        <f t="shared" si="87"/>
        <v>48000</v>
      </c>
      <c r="X351" s="98">
        <f t="shared" si="88"/>
        <v>0</v>
      </c>
      <c r="Y351" s="104"/>
      <c r="Z351" s="105"/>
    </row>
    <row r="352" spans="1:26" ht="12.75" customHeight="1">
      <c r="A352" s="12"/>
      <c r="B352" s="14"/>
      <c r="C352" s="14"/>
      <c r="D352" s="102"/>
      <c r="E352" s="106" t="s">
        <v>613</v>
      </c>
      <c r="F352" s="26"/>
      <c r="G352" s="98">
        <f t="shared" si="78"/>
        <v>60500</v>
      </c>
      <c r="H352" s="54">
        <f aca="true" t="shared" si="97" ref="H352:X352">+H353</f>
        <v>60500</v>
      </c>
      <c r="I352" s="54">
        <f t="shared" si="97"/>
        <v>0</v>
      </c>
      <c r="J352" s="98">
        <f t="shared" si="95"/>
        <v>61000</v>
      </c>
      <c r="K352" s="54">
        <f t="shared" si="97"/>
        <v>61000</v>
      </c>
      <c r="L352" s="54">
        <f t="shared" si="97"/>
        <v>0</v>
      </c>
      <c r="M352" s="98">
        <f t="shared" si="96"/>
        <v>65000</v>
      </c>
      <c r="N352" s="54">
        <f t="shared" si="97"/>
        <v>65000</v>
      </c>
      <c r="O352" s="54">
        <f t="shared" si="97"/>
        <v>0</v>
      </c>
      <c r="P352" s="98">
        <f t="shared" si="80"/>
        <v>4000</v>
      </c>
      <c r="Q352" s="98">
        <f t="shared" si="81"/>
        <v>4000</v>
      </c>
      <c r="R352" s="98">
        <f t="shared" si="82"/>
        <v>0</v>
      </c>
      <c r="S352" s="98">
        <f t="shared" si="83"/>
        <v>65000</v>
      </c>
      <c r="T352" s="98">
        <f t="shared" si="84"/>
        <v>65000</v>
      </c>
      <c r="U352" s="98">
        <f t="shared" si="85"/>
        <v>0</v>
      </c>
      <c r="V352" s="98">
        <f t="shared" si="86"/>
        <v>65000</v>
      </c>
      <c r="W352" s="98">
        <f t="shared" si="87"/>
        <v>65000</v>
      </c>
      <c r="X352" s="98">
        <f t="shared" si="88"/>
        <v>0</v>
      </c>
      <c r="Y352" s="104"/>
      <c r="Z352" s="105"/>
    </row>
    <row r="353" spans="1:26" ht="12.75" customHeight="1">
      <c r="A353" s="12"/>
      <c r="B353" s="14"/>
      <c r="C353" s="14"/>
      <c r="D353" s="102"/>
      <c r="E353" s="13" t="s">
        <v>455</v>
      </c>
      <c r="F353" s="26">
        <v>4511</v>
      </c>
      <c r="G353" s="98">
        <f t="shared" si="78"/>
        <v>60500</v>
      </c>
      <c r="H353" s="45">
        <v>60500</v>
      </c>
      <c r="I353" s="45"/>
      <c r="J353" s="98">
        <f t="shared" si="95"/>
        <v>61000</v>
      </c>
      <c r="K353" s="54">
        <v>61000</v>
      </c>
      <c r="L353" s="54"/>
      <c r="M353" s="98">
        <f t="shared" si="96"/>
        <v>65000</v>
      </c>
      <c r="N353" s="45">
        <v>65000</v>
      </c>
      <c r="O353" s="45"/>
      <c r="P353" s="98">
        <f t="shared" si="80"/>
        <v>4000</v>
      </c>
      <c r="Q353" s="98">
        <f t="shared" si="81"/>
        <v>4000</v>
      </c>
      <c r="R353" s="98">
        <f t="shared" si="82"/>
        <v>0</v>
      </c>
      <c r="S353" s="98">
        <f t="shared" si="83"/>
        <v>65000</v>
      </c>
      <c r="T353" s="98">
        <f t="shared" si="84"/>
        <v>65000</v>
      </c>
      <c r="U353" s="98">
        <f t="shared" si="85"/>
        <v>0</v>
      </c>
      <c r="V353" s="98">
        <f t="shared" si="86"/>
        <v>65000</v>
      </c>
      <c r="W353" s="98">
        <f t="shared" si="87"/>
        <v>65000</v>
      </c>
      <c r="X353" s="98">
        <f t="shared" si="88"/>
        <v>0</v>
      </c>
      <c r="Y353" s="104"/>
      <c r="Z353" s="105"/>
    </row>
    <row r="354" spans="1:26" ht="26.25" customHeight="1">
      <c r="A354" s="12"/>
      <c r="B354" s="14"/>
      <c r="C354" s="14"/>
      <c r="D354" s="102"/>
      <c r="E354" s="106" t="s">
        <v>621</v>
      </c>
      <c r="F354" s="26"/>
      <c r="G354" s="98">
        <f t="shared" si="78"/>
        <v>0</v>
      </c>
      <c r="H354" s="54">
        <f aca="true" t="shared" si="98" ref="H354:X354">+H355</f>
        <v>0</v>
      </c>
      <c r="I354" s="54">
        <f t="shared" si="98"/>
        <v>0</v>
      </c>
      <c r="J354" s="98">
        <f t="shared" si="95"/>
        <v>28000</v>
      </c>
      <c r="K354" s="54">
        <f t="shared" si="98"/>
        <v>28000</v>
      </c>
      <c r="L354" s="54">
        <f t="shared" si="98"/>
        <v>0</v>
      </c>
      <c r="M354" s="98">
        <f t="shared" si="96"/>
        <v>15000</v>
      </c>
      <c r="N354" s="54">
        <f t="shared" si="98"/>
        <v>15000</v>
      </c>
      <c r="O354" s="54">
        <f t="shared" si="98"/>
        <v>0</v>
      </c>
      <c r="P354" s="98">
        <f t="shared" si="80"/>
        <v>-13000</v>
      </c>
      <c r="Q354" s="98">
        <f t="shared" si="81"/>
        <v>-13000</v>
      </c>
      <c r="R354" s="98">
        <f t="shared" si="82"/>
        <v>0</v>
      </c>
      <c r="S354" s="98">
        <f t="shared" si="83"/>
        <v>15000</v>
      </c>
      <c r="T354" s="98">
        <f t="shared" si="84"/>
        <v>15000</v>
      </c>
      <c r="U354" s="98">
        <f t="shared" si="85"/>
        <v>0</v>
      </c>
      <c r="V354" s="98">
        <f t="shared" si="86"/>
        <v>15000</v>
      </c>
      <c r="W354" s="98">
        <f t="shared" si="87"/>
        <v>15000</v>
      </c>
      <c r="X354" s="98">
        <f t="shared" si="88"/>
        <v>0</v>
      </c>
      <c r="Y354" s="104"/>
      <c r="Z354" s="105"/>
    </row>
    <row r="355" spans="1:26" ht="12.75" customHeight="1">
      <c r="A355" s="12"/>
      <c r="B355" s="14"/>
      <c r="C355" s="14"/>
      <c r="D355" s="102"/>
      <c r="E355" s="13" t="s">
        <v>455</v>
      </c>
      <c r="F355" s="26">
        <v>4511</v>
      </c>
      <c r="G355" s="98">
        <f t="shared" si="78"/>
        <v>0</v>
      </c>
      <c r="H355" s="45"/>
      <c r="I355" s="45"/>
      <c r="J355" s="98">
        <f t="shared" si="95"/>
        <v>28000</v>
      </c>
      <c r="K355" s="54">
        <v>28000</v>
      </c>
      <c r="L355" s="54"/>
      <c r="M355" s="98">
        <f t="shared" si="96"/>
        <v>15000</v>
      </c>
      <c r="N355" s="45">
        <v>15000</v>
      </c>
      <c r="O355" s="45"/>
      <c r="P355" s="98">
        <f t="shared" si="80"/>
        <v>-13000</v>
      </c>
      <c r="Q355" s="98">
        <f t="shared" si="81"/>
        <v>-13000</v>
      </c>
      <c r="R355" s="98">
        <f t="shared" si="82"/>
        <v>0</v>
      </c>
      <c r="S355" s="98">
        <f t="shared" si="83"/>
        <v>15000</v>
      </c>
      <c r="T355" s="98">
        <f t="shared" si="84"/>
        <v>15000</v>
      </c>
      <c r="U355" s="98">
        <f t="shared" si="85"/>
        <v>0</v>
      </c>
      <c r="V355" s="98">
        <f t="shared" si="86"/>
        <v>15000</v>
      </c>
      <c r="W355" s="98">
        <f t="shared" si="87"/>
        <v>15000</v>
      </c>
      <c r="X355" s="98">
        <f t="shared" si="88"/>
        <v>0</v>
      </c>
      <c r="Y355" s="104"/>
      <c r="Z355" s="105"/>
    </row>
    <row r="356" spans="1:26" ht="16.5" customHeight="1">
      <c r="A356" s="12"/>
      <c r="B356" s="14"/>
      <c r="C356" s="14"/>
      <c r="D356" s="102"/>
      <c r="E356" s="106" t="s">
        <v>649</v>
      </c>
      <c r="F356" s="26"/>
      <c r="G356" s="98">
        <f t="shared" si="78"/>
        <v>26082.7</v>
      </c>
      <c r="H356" s="54">
        <f aca="true" t="shared" si="99" ref="H356:X356">+H357</f>
        <v>26082.7</v>
      </c>
      <c r="I356" s="54">
        <f t="shared" si="99"/>
        <v>0</v>
      </c>
      <c r="J356" s="98">
        <f t="shared" si="95"/>
        <v>48000</v>
      </c>
      <c r="K356" s="54">
        <f t="shared" si="99"/>
        <v>48000</v>
      </c>
      <c r="L356" s="54">
        <f t="shared" si="99"/>
        <v>0</v>
      </c>
      <c r="M356" s="98">
        <f t="shared" si="96"/>
        <v>63000</v>
      </c>
      <c r="N356" s="54">
        <f t="shared" si="99"/>
        <v>63000</v>
      </c>
      <c r="O356" s="54">
        <f t="shared" si="99"/>
        <v>0</v>
      </c>
      <c r="P356" s="98">
        <f t="shared" si="80"/>
        <v>15000</v>
      </c>
      <c r="Q356" s="98">
        <f t="shared" si="81"/>
        <v>15000</v>
      </c>
      <c r="R356" s="98">
        <f t="shared" si="82"/>
        <v>0</v>
      </c>
      <c r="S356" s="98">
        <f t="shared" si="83"/>
        <v>63000</v>
      </c>
      <c r="T356" s="98">
        <f t="shared" si="84"/>
        <v>63000</v>
      </c>
      <c r="U356" s="98">
        <f t="shared" si="85"/>
        <v>0</v>
      </c>
      <c r="V356" s="98">
        <f t="shared" si="86"/>
        <v>63000</v>
      </c>
      <c r="W356" s="98">
        <f t="shared" si="87"/>
        <v>63000</v>
      </c>
      <c r="X356" s="98">
        <f t="shared" si="88"/>
        <v>0</v>
      </c>
      <c r="Y356" s="104"/>
      <c r="Z356" s="105"/>
    </row>
    <row r="357" spans="1:26" ht="12.75" customHeight="1">
      <c r="A357" s="12"/>
      <c r="B357" s="14"/>
      <c r="C357" s="14"/>
      <c r="D357" s="102"/>
      <c r="E357" s="13" t="s">
        <v>455</v>
      </c>
      <c r="F357" s="26">
        <v>4511</v>
      </c>
      <c r="G357" s="98">
        <f t="shared" si="78"/>
        <v>26082.7</v>
      </c>
      <c r="H357" s="45">
        <v>26082.7</v>
      </c>
      <c r="I357" s="45"/>
      <c r="J357" s="98">
        <f t="shared" si="95"/>
        <v>48000</v>
      </c>
      <c r="K357" s="54">
        <v>48000</v>
      </c>
      <c r="L357" s="54"/>
      <c r="M357" s="98">
        <f t="shared" si="96"/>
        <v>63000</v>
      </c>
      <c r="N357" s="45">
        <v>63000</v>
      </c>
      <c r="O357" s="45"/>
      <c r="P357" s="98">
        <f t="shared" si="80"/>
        <v>15000</v>
      </c>
      <c r="Q357" s="98">
        <f t="shared" si="81"/>
        <v>15000</v>
      </c>
      <c r="R357" s="98">
        <f t="shared" si="82"/>
        <v>0</v>
      </c>
      <c r="S357" s="98">
        <f t="shared" si="83"/>
        <v>63000</v>
      </c>
      <c r="T357" s="98">
        <f t="shared" si="84"/>
        <v>63000</v>
      </c>
      <c r="U357" s="98">
        <f t="shared" si="85"/>
        <v>0</v>
      </c>
      <c r="V357" s="98">
        <f t="shared" si="86"/>
        <v>63000</v>
      </c>
      <c r="W357" s="98">
        <f t="shared" si="87"/>
        <v>63000</v>
      </c>
      <c r="X357" s="98">
        <f t="shared" si="88"/>
        <v>0</v>
      </c>
      <c r="Y357" s="104"/>
      <c r="Z357" s="105"/>
    </row>
    <row r="358" spans="1:26" ht="12.75" customHeight="1">
      <c r="A358" s="12"/>
      <c r="B358" s="14"/>
      <c r="C358" s="14"/>
      <c r="D358" s="102"/>
      <c r="E358" s="106" t="s">
        <v>655</v>
      </c>
      <c r="F358" s="26"/>
      <c r="G358" s="98">
        <f t="shared" si="78"/>
        <v>25522</v>
      </c>
      <c r="H358" s="54">
        <f aca="true" t="shared" si="100" ref="H358:X358">+H359</f>
        <v>25522</v>
      </c>
      <c r="I358" s="54">
        <f t="shared" si="100"/>
        <v>0</v>
      </c>
      <c r="J358" s="98">
        <f t="shared" si="95"/>
        <v>28000</v>
      </c>
      <c r="K358" s="54">
        <f t="shared" si="100"/>
        <v>28000</v>
      </c>
      <c r="L358" s="54">
        <f t="shared" si="100"/>
        <v>0</v>
      </c>
      <c r="M358" s="98">
        <f t="shared" si="96"/>
        <v>41000</v>
      </c>
      <c r="N358" s="54">
        <f t="shared" si="100"/>
        <v>41000</v>
      </c>
      <c r="O358" s="54">
        <f t="shared" si="100"/>
        <v>0</v>
      </c>
      <c r="P358" s="98">
        <f t="shared" si="80"/>
        <v>13000</v>
      </c>
      <c r="Q358" s="98">
        <f t="shared" si="81"/>
        <v>13000</v>
      </c>
      <c r="R358" s="98">
        <f t="shared" si="82"/>
        <v>0</v>
      </c>
      <c r="S358" s="98">
        <f t="shared" si="83"/>
        <v>41000</v>
      </c>
      <c r="T358" s="98">
        <f t="shared" si="84"/>
        <v>41000</v>
      </c>
      <c r="U358" s="98">
        <f t="shared" si="85"/>
        <v>0</v>
      </c>
      <c r="V358" s="98">
        <f t="shared" si="86"/>
        <v>41000</v>
      </c>
      <c r="W358" s="98">
        <f t="shared" si="87"/>
        <v>41000</v>
      </c>
      <c r="X358" s="98">
        <f t="shared" si="88"/>
        <v>0</v>
      </c>
      <c r="Y358" s="104"/>
      <c r="Z358" s="105"/>
    </row>
    <row r="359" spans="1:26" ht="12.75" customHeight="1">
      <c r="A359" s="12"/>
      <c r="B359" s="14"/>
      <c r="C359" s="14"/>
      <c r="D359" s="102"/>
      <c r="E359" s="13" t="s">
        <v>455</v>
      </c>
      <c r="F359" s="26">
        <v>4511</v>
      </c>
      <c r="G359" s="98">
        <f t="shared" si="78"/>
        <v>25522</v>
      </c>
      <c r="H359" s="45">
        <v>25522</v>
      </c>
      <c r="I359" s="45"/>
      <c r="J359" s="98">
        <f t="shared" si="95"/>
        <v>28000</v>
      </c>
      <c r="K359" s="54">
        <v>28000</v>
      </c>
      <c r="L359" s="54"/>
      <c r="M359" s="98">
        <f t="shared" si="96"/>
        <v>41000</v>
      </c>
      <c r="N359" s="45">
        <v>41000</v>
      </c>
      <c r="O359" s="45"/>
      <c r="P359" s="98">
        <f t="shared" si="80"/>
        <v>13000</v>
      </c>
      <c r="Q359" s="98">
        <f t="shared" si="81"/>
        <v>13000</v>
      </c>
      <c r="R359" s="98">
        <f t="shared" si="82"/>
        <v>0</v>
      </c>
      <c r="S359" s="98">
        <f t="shared" si="83"/>
        <v>41000</v>
      </c>
      <c r="T359" s="98">
        <f t="shared" si="84"/>
        <v>41000</v>
      </c>
      <c r="U359" s="98">
        <f t="shared" si="85"/>
        <v>0</v>
      </c>
      <c r="V359" s="98">
        <f t="shared" si="86"/>
        <v>41000</v>
      </c>
      <c r="W359" s="98">
        <f t="shared" si="87"/>
        <v>41000</v>
      </c>
      <c r="X359" s="98">
        <f t="shared" si="88"/>
        <v>0</v>
      </c>
      <c r="Y359" s="104"/>
      <c r="Z359" s="105"/>
    </row>
    <row r="360" spans="1:26" ht="12.75" customHeight="1">
      <c r="A360" s="12"/>
      <c r="B360" s="14"/>
      <c r="C360" s="14"/>
      <c r="D360" s="102"/>
      <c r="E360" s="106" t="s">
        <v>669</v>
      </c>
      <c r="F360" s="26"/>
      <c r="G360" s="98">
        <f t="shared" si="78"/>
        <v>9588.3</v>
      </c>
      <c r="H360" s="54">
        <f>+H361+H362</f>
        <v>4564</v>
      </c>
      <c r="I360" s="54">
        <f>+I363</f>
        <v>5024.3</v>
      </c>
      <c r="J360" s="98">
        <f t="shared" si="95"/>
        <v>28000</v>
      </c>
      <c r="K360" s="54">
        <f>+K362</f>
        <v>28000</v>
      </c>
      <c r="L360" s="54">
        <f>+L362</f>
        <v>0</v>
      </c>
      <c r="M360" s="98">
        <f t="shared" si="96"/>
        <v>30000</v>
      </c>
      <c r="N360" s="54">
        <f>+N361+N362</f>
        <v>30000</v>
      </c>
      <c r="O360" s="54">
        <f>+O363</f>
        <v>0</v>
      </c>
      <c r="P360" s="98">
        <f t="shared" si="80"/>
        <v>2000</v>
      </c>
      <c r="Q360" s="98">
        <f t="shared" si="81"/>
        <v>2000</v>
      </c>
      <c r="R360" s="98">
        <f t="shared" si="82"/>
        <v>0</v>
      </c>
      <c r="S360" s="98">
        <f t="shared" si="83"/>
        <v>30000</v>
      </c>
      <c r="T360" s="98">
        <f t="shared" si="84"/>
        <v>30000</v>
      </c>
      <c r="U360" s="98">
        <f t="shared" si="85"/>
        <v>0</v>
      </c>
      <c r="V360" s="98">
        <f t="shared" si="86"/>
        <v>30000</v>
      </c>
      <c r="W360" s="98">
        <f t="shared" si="87"/>
        <v>30000</v>
      </c>
      <c r="X360" s="98">
        <f t="shared" si="88"/>
        <v>0</v>
      </c>
      <c r="Y360" s="104"/>
      <c r="Z360" s="105"/>
    </row>
    <row r="361" spans="1:26" ht="12.75" customHeight="1">
      <c r="A361" s="12"/>
      <c r="B361" s="14"/>
      <c r="C361" s="14"/>
      <c r="D361" s="102"/>
      <c r="E361" s="13" t="s">
        <v>441</v>
      </c>
      <c r="F361" s="26">
        <v>4269</v>
      </c>
      <c r="G361" s="98">
        <f t="shared" si="78"/>
        <v>249.9</v>
      </c>
      <c r="H361" s="54">
        <v>249.9</v>
      </c>
      <c r="I361" s="54"/>
      <c r="J361" s="98"/>
      <c r="K361" s="54"/>
      <c r="L361" s="54"/>
      <c r="M361" s="98"/>
      <c r="N361" s="54"/>
      <c r="O361" s="54"/>
      <c r="P361" s="98">
        <f t="shared" si="80"/>
        <v>0</v>
      </c>
      <c r="Q361" s="98">
        <f t="shared" si="81"/>
        <v>0</v>
      </c>
      <c r="R361" s="98">
        <f t="shared" si="82"/>
        <v>0</v>
      </c>
      <c r="S361" s="98">
        <f t="shared" si="83"/>
        <v>0</v>
      </c>
      <c r="T361" s="98">
        <f t="shared" si="84"/>
        <v>0</v>
      </c>
      <c r="U361" s="98">
        <f t="shared" si="85"/>
        <v>0</v>
      </c>
      <c r="V361" s="98">
        <f t="shared" si="86"/>
        <v>0</v>
      </c>
      <c r="W361" s="98">
        <f t="shared" si="87"/>
        <v>0</v>
      </c>
      <c r="X361" s="98">
        <f t="shared" si="88"/>
        <v>0</v>
      </c>
      <c r="Y361" s="104"/>
      <c r="Z361" s="105"/>
    </row>
    <row r="362" spans="1:26" ht="12.75" customHeight="1">
      <c r="A362" s="12"/>
      <c r="B362" s="14"/>
      <c r="C362" s="14"/>
      <c r="D362" s="102"/>
      <c r="E362" s="13" t="s">
        <v>455</v>
      </c>
      <c r="F362" s="26">
        <v>4511</v>
      </c>
      <c r="G362" s="98">
        <f t="shared" si="78"/>
        <v>4314.1</v>
      </c>
      <c r="H362" s="45">
        <v>4314.1</v>
      </c>
      <c r="I362" s="45"/>
      <c r="J362" s="98">
        <f t="shared" si="95"/>
        <v>28000</v>
      </c>
      <c r="K362" s="54">
        <v>28000</v>
      </c>
      <c r="L362" s="54"/>
      <c r="M362" s="98">
        <f t="shared" si="96"/>
        <v>30000</v>
      </c>
      <c r="N362" s="45">
        <v>30000</v>
      </c>
      <c r="O362" s="45"/>
      <c r="P362" s="98">
        <f t="shared" si="80"/>
        <v>2000</v>
      </c>
      <c r="Q362" s="98">
        <f t="shared" si="81"/>
        <v>2000</v>
      </c>
      <c r="R362" s="98">
        <f t="shared" si="82"/>
        <v>0</v>
      </c>
      <c r="S362" s="98">
        <f t="shared" si="83"/>
        <v>30000</v>
      </c>
      <c r="T362" s="98">
        <f t="shared" si="84"/>
        <v>30000</v>
      </c>
      <c r="U362" s="98">
        <f t="shared" si="85"/>
        <v>0</v>
      </c>
      <c r="V362" s="98">
        <f t="shared" si="86"/>
        <v>30000</v>
      </c>
      <c r="W362" s="98">
        <f t="shared" si="87"/>
        <v>30000</v>
      </c>
      <c r="X362" s="98">
        <f t="shared" si="88"/>
        <v>0</v>
      </c>
      <c r="Y362" s="104"/>
      <c r="Z362" s="105"/>
    </row>
    <row r="363" spans="1:26" ht="12.75" customHeight="1">
      <c r="A363" s="14"/>
      <c r="B363" s="14"/>
      <c r="C363" s="14"/>
      <c r="D363" s="102"/>
      <c r="E363" s="13" t="s">
        <v>529</v>
      </c>
      <c r="F363" s="26">
        <v>5122</v>
      </c>
      <c r="G363" s="98">
        <f t="shared" si="78"/>
        <v>5024.3</v>
      </c>
      <c r="H363" s="45"/>
      <c r="I363" s="45">
        <v>5024.3</v>
      </c>
      <c r="J363" s="98"/>
      <c r="K363" s="54"/>
      <c r="L363" s="54"/>
      <c r="M363" s="98"/>
      <c r="N363" s="45"/>
      <c r="O363" s="45"/>
      <c r="P363" s="98">
        <f t="shared" si="80"/>
        <v>0</v>
      </c>
      <c r="Q363" s="98">
        <f t="shared" si="81"/>
        <v>0</v>
      </c>
      <c r="R363" s="98">
        <f t="shared" si="82"/>
        <v>0</v>
      </c>
      <c r="S363" s="98">
        <f t="shared" si="83"/>
        <v>0</v>
      </c>
      <c r="T363" s="98">
        <f t="shared" si="84"/>
        <v>0</v>
      </c>
      <c r="U363" s="98">
        <f t="shared" si="85"/>
        <v>0</v>
      </c>
      <c r="V363" s="98">
        <f t="shared" si="86"/>
        <v>0</v>
      </c>
      <c r="W363" s="98">
        <f t="shared" si="87"/>
        <v>0</v>
      </c>
      <c r="X363" s="98">
        <f t="shared" si="88"/>
        <v>0</v>
      </c>
      <c r="Y363" s="104"/>
      <c r="Z363" s="105"/>
    </row>
    <row r="364" spans="1:26" ht="12.75" customHeight="1">
      <c r="A364" s="25" t="s">
        <v>333</v>
      </c>
      <c r="B364" s="26" t="s">
        <v>327</v>
      </c>
      <c r="C364" s="26" t="s">
        <v>197</v>
      </c>
      <c r="D364" s="26" t="s">
        <v>221</v>
      </c>
      <c r="E364" s="13" t="s">
        <v>334</v>
      </c>
      <c r="F364" s="26"/>
      <c r="G364" s="98">
        <f t="shared" si="78"/>
        <v>1026</v>
      </c>
      <c r="H364" s="45">
        <f>+H365</f>
        <v>1026</v>
      </c>
      <c r="I364" s="45"/>
      <c r="J364" s="98"/>
      <c r="K364" s="54"/>
      <c r="L364" s="54"/>
      <c r="M364" s="98"/>
      <c r="N364" s="45">
        <f>+N365</f>
        <v>0</v>
      </c>
      <c r="O364" s="45"/>
      <c r="P364" s="98">
        <f t="shared" si="80"/>
        <v>0</v>
      </c>
      <c r="Q364" s="98">
        <f t="shared" si="81"/>
        <v>0</v>
      </c>
      <c r="R364" s="98">
        <f t="shared" si="82"/>
        <v>0</v>
      </c>
      <c r="S364" s="98">
        <f t="shared" si="83"/>
        <v>0</v>
      </c>
      <c r="T364" s="98">
        <f t="shared" si="84"/>
        <v>0</v>
      </c>
      <c r="U364" s="98">
        <f t="shared" si="85"/>
        <v>0</v>
      </c>
      <c r="V364" s="98">
        <f t="shared" si="86"/>
        <v>0</v>
      </c>
      <c r="W364" s="98">
        <f t="shared" si="87"/>
        <v>0</v>
      </c>
      <c r="X364" s="98">
        <f t="shared" si="88"/>
        <v>0</v>
      </c>
      <c r="Y364" s="104"/>
      <c r="Z364" s="105"/>
    </row>
    <row r="365" spans="1:26" ht="12.75" customHeight="1">
      <c r="A365" s="26"/>
      <c r="B365" s="26"/>
      <c r="C365" s="26"/>
      <c r="D365" s="26"/>
      <c r="E365" s="13"/>
      <c r="F365" s="26">
        <v>4239</v>
      </c>
      <c r="G365" s="98">
        <f t="shared" si="78"/>
        <v>1026</v>
      </c>
      <c r="H365" s="45">
        <v>1026</v>
      </c>
      <c r="I365" s="45"/>
      <c r="J365" s="98"/>
      <c r="K365" s="54"/>
      <c r="L365" s="54"/>
      <c r="M365" s="98"/>
      <c r="N365" s="45"/>
      <c r="O365" s="45"/>
      <c r="P365" s="98">
        <f t="shared" si="80"/>
        <v>0</v>
      </c>
      <c r="Q365" s="98">
        <f t="shared" si="81"/>
        <v>0</v>
      </c>
      <c r="R365" s="98">
        <f t="shared" si="82"/>
        <v>0</v>
      </c>
      <c r="S365" s="98">
        <f t="shared" si="83"/>
        <v>0</v>
      </c>
      <c r="T365" s="98">
        <f t="shared" si="84"/>
        <v>0</v>
      </c>
      <c r="U365" s="98">
        <f t="shared" si="85"/>
        <v>0</v>
      </c>
      <c r="V365" s="98">
        <f t="shared" si="86"/>
        <v>0</v>
      </c>
      <c r="W365" s="98">
        <f t="shared" si="87"/>
        <v>0</v>
      </c>
      <c r="X365" s="98">
        <f t="shared" si="88"/>
        <v>0</v>
      </c>
      <c r="Y365" s="104"/>
      <c r="Z365" s="105"/>
    </row>
    <row r="366" spans="1:26" ht="12.75" customHeight="1">
      <c r="A366" s="10" t="s">
        <v>335</v>
      </c>
      <c r="B366" s="7" t="s">
        <v>327</v>
      </c>
      <c r="C366" s="7" t="s">
        <v>221</v>
      </c>
      <c r="D366" s="7" t="s">
        <v>194</v>
      </c>
      <c r="E366" s="28" t="s">
        <v>336</v>
      </c>
      <c r="F366" s="26"/>
      <c r="G366" s="98">
        <f t="shared" si="78"/>
        <v>8669.5</v>
      </c>
      <c r="H366" s="45">
        <f>+H367+H369</f>
        <v>8669.5</v>
      </c>
      <c r="I366" s="45"/>
      <c r="J366" s="98"/>
      <c r="K366" s="54"/>
      <c r="L366" s="54"/>
      <c r="M366" s="98"/>
      <c r="N366" s="45">
        <f>+N367+N369</f>
        <v>0</v>
      </c>
      <c r="O366" s="45"/>
      <c r="P366" s="98">
        <f t="shared" si="80"/>
        <v>0</v>
      </c>
      <c r="Q366" s="98">
        <f t="shared" si="81"/>
        <v>0</v>
      </c>
      <c r="R366" s="98">
        <f t="shared" si="82"/>
        <v>0</v>
      </c>
      <c r="S366" s="98">
        <f t="shared" si="83"/>
        <v>0</v>
      </c>
      <c r="T366" s="98">
        <f t="shared" si="84"/>
        <v>0</v>
      </c>
      <c r="U366" s="98">
        <f t="shared" si="85"/>
        <v>0</v>
      </c>
      <c r="V366" s="98">
        <f t="shared" si="86"/>
        <v>0</v>
      </c>
      <c r="W366" s="98">
        <f t="shared" si="87"/>
        <v>0</v>
      </c>
      <c r="X366" s="98">
        <f t="shared" si="88"/>
        <v>0</v>
      </c>
      <c r="Y366" s="104"/>
      <c r="Z366" s="105"/>
    </row>
    <row r="367" spans="1:26" ht="12.75" customHeight="1">
      <c r="A367" s="25" t="s">
        <v>337</v>
      </c>
      <c r="B367" s="26" t="s">
        <v>327</v>
      </c>
      <c r="C367" s="26" t="s">
        <v>221</v>
      </c>
      <c r="D367" s="26" t="s">
        <v>197</v>
      </c>
      <c r="E367" s="13" t="s">
        <v>338</v>
      </c>
      <c r="F367" s="26"/>
      <c r="G367" s="98">
        <f t="shared" si="78"/>
        <v>166</v>
      </c>
      <c r="H367" s="45">
        <f>+H368</f>
        <v>166</v>
      </c>
      <c r="I367" s="45"/>
      <c r="J367" s="98"/>
      <c r="K367" s="54"/>
      <c r="L367" s="54"/>
      <c r="M367" s="98"/>
      <c r="N367" s="45">
        <f>+N368</f>
        <v>0</v>
      </c>
      <c r="O367" s="45"/>
      <c r="P367" s="98">
        <f t="shared" si="80"/>
        <v>0</v>
      </c>
      <c r="Q367" s="98">
        <f t="shared" si="81"/>
        <v>0</v>
      </c>
      <c r="R367" s="98">
        <f t="shared" si="82"/>
        <v>0</v>
      </c>
      <c r="S367" s="98">
        <f t="shared" si="83"/>
        <v>0</v>
      </c>
      <c r="T367" s="98">
        <f t="shared" si="84"/>
        <v>0</v>
      </c>
      <c r="U367" s="98">
        <f t="shared" si="85"/>
        <v>0</v>
      </c>
      <c r="V367" s="98">
        <f t="shared" si="86"/>
        <v>0</v>
      </c>
      <c r="W367" s="98">
        <f t="shared" si="87"/>
        <v>0</v>
      </c>
      <c r="X367" s="98">
        <f t="shared" si="88"/>
        <v>0</v>
      </c>
      <c r="Y367" s="104"/>
      <c r="Z367" s="105"/>
    </row>
    <row r="368" spans="1:26" ht="12.75" customHeight="1">
      <c r="A368" s="122"/>
      <c r="B368" s="122"/>
      <c r="C368" s="122"/>
      <c r="D368" s="122"/>
      <c r="E368" s="123"/>
      <c r="F368" s="26">
        <v>4637</v>
      </c>
      <c r="G368" s="98">
        <f t="shared" si="78"/>
        <v>166</v>
      </c>
      <c r="H368" s="45">
        <v>166</v>
      </c>
      <c r="I368" s="45"/>
      <c r="J368" s="98"/>
      <c r="K368" s="54"/>
      <c r="L368" s="54"/>
      <c r="M368" s="98"/>
      <c r="N368" s="45"/>
      <c r="O368" s="45"/>
      <c r="P368" s="98">
        <f t="shared" si="80"/>
        <v>0</v>
      </c>
      <c r="Q368" s="98">
        <f t="shared" si="81"/>
        <v>0</v>
      </c>
      <c r="R368" s="98">
        <f t="shared" si="82"/>
        <v>0</v>
      </c>
      <c r="S368" s="98">
        <f t="shared" si="83"/>
        <v>0</v>
      </c>
      <c r="T368" s="98">
        <f t="shared" si="84"/>
        <v>0</v>
      </c>
      <c r="U368" s="98">
        <f t="shared" si="85"/>
        <v>0</v>
      </c>
      <c r="V368" s="98">
        <f t="shared" si="86"/>
        <v>0</v>
      </c>
      <c r="W368" s="98">
        <f t="shared" si="87"/>
        <v>0</v>
      </c>
      <c r="X368" s="98">
        <f t="shared" si="88"/>
        <v>0</v>
      </c>
      <c r="Y368" s="104"/>
      <c r="Z368" s="105"/>
    </row>
    <row r="369" spans="1:26" ht="12.75" customHeight="1">
      <c r="A369" s="25" t="s">
        <v>339</v>
      </c>
      <c r="B369" s="26" t="s">
        <v>327</v>
      </c>
      <c r="C369" s="26" t="s">
        <v>221</v>
      </c>
      <c r="D369" s="26" t="s">
        <v>221</v>
      </c>
      <c r="E369" s="13" t="s">
        <v>340</v>
      </c>
      <c r="F369" s="26"/>
      <c r="G369" s="98">
        <f t="shared" si="78"/>
        <v>8503.5</v>
      </c>
      <c r="H369" s="45">
        <f>+H370+H371</f>
        <v>8503.5</v>
      </c>
      <c r="I369" s="45"/>
      <c r="J369" s="98"/>
      <c r="K369" s="54"/>
      <c r="L369" s="54"/>
      <c r="M369" s="98"/>
      <c r="N369" s="45">
        <f>+N370+N371</f>
        <v>0</v>
      </c>
      <c r="O369" s="45"/>
      <c r="P369" s="98">
        <f t="shared" si="80"/>
        <v>0</v>
      </c>
      <c r="Q369" s="98">
        <f t="shared" si="81"/>
        <v>0</v>
      </c>
      <c r="R369" s="98">
        <f t="shared" si="82"/>
        <v>0</v>
      </c>
      <c r="S369" s="98">
        <f t="shared" si="83"/>
        <v>0</v>
      </c>
      <c r="T369" s="98">
        <f t="shared" si="84"/>
        <v>0</v>
      </c>
      <c r="U369" s="98">
        <f t="shared" si="85"/>
        <v>0</v>
      </c>
      <c r="V369" s="98">
        <f t="shared" si="86"/>
        <v>0</v>
      </c>
      <c r="W369" s="98">
        <f t="shared" si="87"/>
        <v>0</v>
      </c>
      <c r="X369" s="98">
        <f t="shared" si="88"/>
        <v>0</v>
      </c>
      <c r="Y369" s="104"/>
      <c r="Z369" s="105"/>
    </row>
    <row r="370" spans="1:26" ht="12.75" customHeight="1">
      <c r="A370" s="124"/>
      <c r="B370" s="26"/>
      <c r="C370" s="26"/>
      <c r="D370" s="26"/>
      <c r="E370" s="13" t="s">
        <v>467</v>
      </c>
      <c r="F370" s="26">
        <v>4637</v>
      </c>
      <c r="G370" s="98">
        <f t="shared" si="78"/>
        <v>3231.2</v>
      </c>
      <c r="H370" s="45">
        <v>3231.2</v>
      </c>
      <c r="I370" s="45"/>
      <c r="J370" s="98"/>
      <c r="K370" s="54"/>
      <c r="L370" s="54"/>
      <c r="M370" s="98"/>
      <c r="N370" s="45"/>
      <c r="O370" s="45"/>
      <c r="P370" s="98">
        <f t="shared" si="80"/>
        <v>0</v>
      </c>
      <c r="Q370" s="98">
        <f t="shared" si="81"/>
        <v>0</v>
      </c>
      <c r="R370" s="98">
        <f t="shared" si="82"/>
        <v>0</v>
      </c>
      <c r="S370" s="98">
        <f t="shared" si="83"/>
        <v>0</v>
      </c>
      <c r="T370" s="98">
        <f t="shared" si="84"/>
        <v>0</v>
      </c>
      <c r="U370" s="98">
        <f t="shared" si="85"/>
        <v>0</v>
      </c>
      <c r="V370" s="98">
        <f t="shared" si="86"/>
        <v>0</v>
      </c>
      <c r="W370" s="98">
        <f t="shared" si="87"/>
        <v>0</v>
      </c>
      <c r="X370" s="98">
        <f t="shared" si="88"/>
        <v>0</v>
      </c>
      <c r="Y370" s="104"/>
      <c r="Z370" s="105"/>
    </row>
    <row r="371" spans="1:26" ht="12.75" customHeight="1">
      <c r="A371" s="26"/>
      <c r="B371" s="26"/>
      <c r="C371" s="26"/>
      <c r="D371" s="26"/>
      <c r="E371" s="13" t="s">
        <v>723</v>
      </c>
      <c r="F371" s="26">
        <v>4655</v>
      </c>
      <c r="G371" s="98">
        <f t="shared" si="78"/>
        <v>5272.3</v>
      </c>
      <c r="H371" s="45">
        <v>5272.3</v>
      </c>
      <c r="I371" s="45"/>
      <c r="J371" s="98"/>
      <c r="K371" s="54"/>
      <c r="L371" s="54"/>
      <c r="M371" s="98"/>
      <c r="N371" s="45"/>
      <c r="O371" s="45"/>
      <c r="P371" s="98">
        <f t="shared" si="80"/>
        <v>0</v>
      </c>
      <c r="Q371" s="98">
        <f t="shared" si="81"/>
        <v>0</v>
      </c>
      <c r="R371" s="98">
        <f t="shared" si="82"/>
        <v>0</v>
      </c>
      <c r="S371" s="98">
        <f t="shared" si="83"/>
        <v>0</v>
      </c>
      <c r="T371" s="98">
        <f t="shared" si="84"/>
        <v>0</v>
      </c>
      <c r="U371" s="98">
        <f t="shared" si="85"/>
        <v>0</v>
      </c>
      <c r="V371" s="98">
        <f t="shared" si="86"/>
        <v>0</v>
      </c>
      <c r="W371" s="98">
        <f t="shared" si="87"/>
        <v>0</v>
      </c>
      <c r="X371" s="98">
        <f t="shared" si="88"/>
        <v>0</v>
      </c>
      <c r="Y371" s="104"/>
      <c r="Z371" s="105"/>
    </row>
    <row r="372" spans="1:26" ht="35.25" customHeight="1">
      <c r="A372" s="26">
        <v>2930</v>
      </c>
      <c r="B372" s="26">
        <v>9</v>
      </c>
      <c r="C372" s="26">
        <v>3</v>
      </c>
      <c r="D372" s="26">
        <v>0</v>
      </c>
      <c r="E372" s="28" t="s">
        <v>717</v>
      </c>
      <c r="F372" s="26"/>
      <c r="G372" s="98">
        <f t="shared" si="78"/>
        <v>85.2</v>
      </c>
      <c r="H372" s="45">
        <f>+H373</f>
        <v>85.2</v>
      </c>
      <c r="I372" s="45"/>
      <c r="J372" s="98"/>
      <c r="K372" s="54"/>
      <c r="L372" s="54"/>
      <c r="M372" s="98"/>
      <c r="N372" s="45">
        <f>+N373</f>
        <v>0</v>
      </c>
      <c r="O372" s="45"/>
      <c r="P372" s="98">
        <f t="shared" si="80"/>
        <v>0</v>
      </c>
      <c r="Q372" s="98">
        <f t="shared" si="81"/>
        <v>0</v>
      </c>
      <c r="R372" s="98">
        <f t="shared" si="82"/>
        <v>0</v>
      </c>
      <c r="S372" s="98">
        <f t="shared" si="83"/>
        <v>0</v>
      </c>
      <c r="T372" s="98">
        <f t="shared" si="84"/>
        <v>0</v>
      </c>
      <c r="U372" s="98">
        <f t="shared" si="85"/>
        <v>0</v>
      </c>
      <c r="V372" s="98">
        <f t="shared" si="86"/>
        <v>0</v>
      </c>
      <c r="W372" s="98">
        <f t="shared" si="87"/>
        <v>0</v>
      </c>
      <c r="X372" s="98">
        <f t="shared" si="88"/>
        <v>0</v>
      </c>
      <c r="Y372" s="104"/>
      <c r="Z372" s="105"/>
    </row>
    <row r="373" spans="1:26" ht="20.25" customHeight="1">
      <c r="A373" s="26">
        <v>2932</v>
      </c>
      <c r="B373" s="26">
        <v>9</v>
      </c>
      <c r="C373" s="26">
        <v>3</v>
      </c>
      <c r="D373" s="26">
        <v>2</v>
      </c>
      <c r="E373" s="13" t="s">
        <v>718</v>
      </c>
      <c r="F373" s="26"/>
      <c r="G373" s="98">
        <f t="shared" si="78"/>
        <v>85.2</v>
      </c>
      <c r="H373" s="45">
        <f>+H374</f>
        <v>85.2</v>
      </c>
      <c r="I373" s="45"/>
      <c r="J373" s="98"/>
      <c r="K373" s="54"/>
      <c r="L373" s="54"/>
      <c r="M373" s="98"/>
      <c r="N373" s="45">
        <f>+N374</f>
        <v>0</v>
      </c>
      <c r="O373" s="45"/>
      <c r="P373" s="98">
        <f t="shared" si="80"/>
        <v>0</v>
      </c>
      <c r="Q373" s="98">
        <f t="shared" si="81"/>
        <v>0</v>
      </c>
      <c r="R373" s="98">
        <f t="shared" si="82"/>
        <v>0</v>
      </c>
      <c r="S373" s="98">
        <f t="shared" si="83"/>
        <v>0</v>
      </c>
      <c r="T373" s="98">
        <f t="shared" si="84"/>
        <v>0</v>
      </c>
      <c r="U373" s="98">
        <f t="shared" si="85"/>
        <v>0</v>
      </c>
      <c r="V373" s="98">
        <f t="shared" si="86"/>
        <v>0</v>
      </c>
      <c r="W373" s="98">
        <f t="shared" si="87"/>
        <v>0</v>
      </c>
      <c r="X373" s="98">
        <f t="shared" si="88"/>
        <v>0</v>
      </c>
      <c r="Y373" s="104"/>
      <c r="Z373" s="105"/>
    </row>
    <row r="374" spans="1:26" ht="12.75" customHeight="1">
      <c r="A374" s="26"/>
      <c r="B374" s="26"/>
      <c r="C374" s="26"/>
      <c r="D374" s="26"/>
      <c r="E374" s="13" t="s">
        <v>467</v>
      </c>
      <c r="F374" s="26">
        <v>4637</v>
      </c>
      <c r="G374" s="98">
        <f t="shared" si="78"/>
        <v>85.2</v>
      </c>
      <c r="H374" s="45">
        <v>85.2</v>
      </c>
      <c r="I374" s="45"/>
      <c r="J374" s="98"/>
      <c r="K374" s="54"/>
      <c r="L374" s="54"/>
      <c r="M374" s="98"/>
      <c r="N374" s="45"/>
      <c r="O374" s="45"/>
      <c r="P374" s="98">
        <f t="shared" si="80"/>
        <v>0</v>
      </c>
      <c r="Q374" s="98">
        <f t="shared" si="81"/>
        <v>0</v>
      </c>
      <c r="R374" s="98">
        <f t="shared" si="82"/>
        <v>0</v>
      </c>
      <c r="S374" s="98">
        <f t="shared" si="83"/>
        <v>0</v>
      </c>
      <c r="T374" s="98">
        <f t="shared" si="84"/>
        <v>0</v>
      </c>
      <c r="U374" s="98">
        <f t="shared" si="85"/>
        <v>0</v>
      </c>
      <c r="V374" s="98">
        <f t="shared" si="86"/>
        <v>0</v>
      </c>
      <c r="W374" s="98">
        <f t="shared" si="87"/>
        <v>0</v>
      </c>
      <c r="X374" s="98">
        <f t="shared" si="88"/>
        <v>0</v>
      </c>
      <c r="Y374" s="104"/>
      <c r="Z374" s="105"/>
    </row>
    <row r="375" spans="1:26" ht="12.75" customHeight="1">
      <c r="A375" s="125" t="s">
        <v>640</v>
      </c>
      <c r="B375" s="125" t="s">
        <v>255</v>
      </c>
      <c r="C375" s="125" t="s">
        <v>237</v>
      </c>
      <c r="D375" s="125" t="s">
        <v>194</v>
      </c>
      <c r="E375" s="126" t="s">
        <v>641</v>
      </c>
      <c r="F375" s="26"/>
      <c r="G375" s="98">
        <f t="shared" si="78"/>
        <v>2290</v>
      </c>
      <c r="H375" s="54">
        <f aca="true" t="shared" si="101" ref="H375:X375">+H376</f>
        <v>2290</v>
      </c>
      <c r="I375" s="54">
        <f t="shared" si="101"/>
        <v>0</v>
      </c>
      <c r="J375" s="98">
        <f t="shared" si="95"/>
        <v>10000</v>
      </c>
      <c r="K375" s="54">
        <f t="shared" si="101"/>
        <v>10000</v>
      </c>
      <c r="L375" s="54">
        <f t="shared" si="101"/>
        <v>0</v>
      </c>
      <c r="M375" s="98">
        <f t="shared" si="96"/>
        <v>0</v>
      </c>
      <c r="N375" s="54">
        <f t="shared" si="101"/>
        <v>0</v>
      </c>
      <c r="O375" s="54">
        <f t="shared" si="101"/>
        <v>0</v>
      </c>
      <c r="P375" s="98">
        <f t="shared" si="80"/>
        <v>-10000</v>
      </c>
      <c r="Q375" s="98">
        <f t="shared" si="81"/>
        <v>-10000</v>
      </c>
      <c r="R375" s="98">
        <f t="shared" si="82"/>
        <v>0</v>
      </c>
      <c r="S375" s="98">
        <f t="shared" si="83"/>
        <v>0</v>
      </c>
      <c r="T375" s="98">
        <f t="shared" si="84"/>
        <v>0</v>
      </c>
      <c r="U375" s="98">
        <f t="shared" si="85"/>
        <v>0</v>
      </c>
      <c r="V375" s="98">
        <f t="shared" si="86"/>
        <v>0</v>
      </c>
      <c r="W375" s="98">
        <f t="shared" si="87"/>
        <v>0</v>
      </c>
      <c r="X375" s="98">
        <f t="shared" si="88"/>
        <v>0</v>
      </c>
      <c r="Y375" s="104"/>
      <c r="Z375" s="105"/>
    </row>
    <row r="376" spans="1:26" ht="12.75" customHeight="1">
      <c r="A376" s="59" t="s">
        <v>642</v>
      </c>
      <c r="B376" s="59" t="s">
        <v>255</v>
      </c>
      <c r="C376" s="59" t="s">
        <v>237</v>
      </c>
      <c r="D376" s="59" t="s">
        <v>197</v>
      </c>
      <c r="E376" s="60" t="s">
        <v>643</v>
      </c>
      <c r="F376" s="26"/>
      <c r="G376" s="98">
        <f t="shared" si="78"/>
        <v>2290</v>
      </c>
      <c r="H376" s="54">
        <f>+H378</f>
        <v>2290</v>
      </c>
      <c r="I376" s="54">
        <f>+I378</f>
        <v>0</v>
      </c>
      <c r="J376" s="98">
        <f t="shared" si="95"/>
        <v>10000</v>
      </c>
      <c r="K376" s="54">
        <f>+K378</f>
        <v>10000</v>
      </c>
      <c r="L376" s="54">
        <f>+L378</f>
        <v>0</v>
      </c>
      <c r="M376" s="98">
        <f t="shared" si="96"/>
        <v>0</v>
      </c>
      <c r="N376" s="54">
        <f>+N378</f>
        <v>0</v>
      </c>
      <c r="O376" s="54">
        <f>+O378</f>
        <v>0</v>
      </c>
      <c r="P376" s="98">
        <f t="shared" si="80"/>
        <v>-10000</v>
      </c>
      <c r="Q376" s="98">
        <f t="shared" si="81"/>
        <v>-10000</v>
      </c>
      <c r="R376" s="98">
        <f t="shared" si="82"/>
        <v>0</v>
      </c>
      <c r="S376" s="98">
        <f t="shared" si="83"/>
        <v>0</v>
      </c>
      <c r="T376" s="98">
        <f t="shared" si="84"/>
        <v>0</v>
      </c>
      <c r="U376" s="98">
        <f t="shared" si="85"/>
        <v>0</v>
      </c>
      <c r="V376" s="98">
        <f t="shared" si="86"/>
        <v>0</v>
      </c>
      <c r="W376" s="98">
        <f t="shared" si="87"/>
        <v>0</v>
      </c>
      <c r="X376" s="98">
        <f t="shared" si="88"/>
        <v>0</v>
      </c>
      <c r="Y376" s="104"/>
      <c r="Z376" s="105"/>
    </row>
    <row r="377" spans="1:26" ht="12.75" customHeight="1">
      <c r="A377" s="12"/>
      <c r="B377" s="14"/>
      <c r="C377" s="14"/>
      <c r="D377" s="102"/>
      <c r="E377" s="106" t="s">
        <v>5</v>
      </c>
      <c r="F377" s="26"/>
      <c r="G377" s="98">
        <f t="shared" si="78"/>
        <v>0</v>
      </c>
      <c r="H377" s="45"/>
      <c r="I377" s="45"/>
      <c r="J377" s="98">
        <f t="shared" si="95"/>
        <v>0</v>
      </c>
      <c r="K377" s="54"/>
      <c r="L377" s="54"/>
      <c r="M377" s="98">
        <f t="shared" si="96"/>
        <v>0</v>
      </c>
      <c r="N377" s="45"/>
      <c r="O377" s="45"/>
      <c r="P377" s="98">
        <f t="shared" si="80"/>
        <v>0</v>
      </c>
      <c r="Q377" s="98">
        <f t="shared" si="81"/>
        <v>0</v>
      </c>
      <c r="R377" s="98">
        <f t="shared" si="82"/>
        <v>0</v>
      </c>
      <c r="S377" s="98">
        <f t="shared" si="83"/>
        <v>0</v>
      </c>
      <c r="T377" s="98">
        <f t="shared" si="84"/>
        <v>0</v>
      </c>
      <c r="U377" s="98">
        <f t="shared" si="85"/>
        <v>0</v>
      </c>
      <c r="V377" s="98">
        <f t="shared" si="86"/>
        <v>0</v>
      </c>
      <c r="W377" s="98">
        <f t="shared" si="87"/>
        <v>0</v>
      </c>
      <c r="X377" s="98">
        <f t="shared" si="88"/>
        <v>0</v>
      </c>
      <c r="Y377" s="104"/>
      <c r="Z377" s="105"/>
    </row>
    <row r="378" spans="1:26" ht="12.75" customHeight="1">
      <c r="A378" s="12"/>
      <c r="B378" s="14"/>
      <c r="C378" s="14"/>
      <c r="D378" s="102"/>
      <c r="E378" s="103" t="s">
        <v>644</v>
      </c>
      <c r="F378" s="26">
        <v>4729</v>
      </c>
      <c r="G378" s="98">
        <f t="shared" si="78"/>
        <v>2290</v>
      </c>
      <c r="H378" s="45">
        <v>2290</v>
      </c>
      <c r="I378" s="45"/>
      <c r="J378" s="98">
        <f t="shared" si="95"/>
        <v>10000</v>
      </c>
      <c r="K378" s="54">
        <v>10000</v>
      </c>
      <c r="L378" s="54"/>
      <c r="M378" s="98">
        <f t="shared" si="96"/>
        <v>0</v>
      </c>
      <c r="N378" s="45"/>
      <c r="O378" s="45"/>
      <c r="P378" s="98">
        <f t="shared" si="80"/>
        <v>-10000</v>
      </c>
      <c r="Q378" s="98">
        <f t="shared" si="81"/>
        <v>-10000</v>
      </c>
      <c r="R378" s="98">
        <f t="shared" si="82"/>
        <v>0</v>
      </c>
      <c r="S378" s="98">
        <f t="shared" si="83"/>
        <v>0</v>
      </c>
      <c r="T378" s="98">
        <f t="shared" si="84"/>
        <v>0</v>
      </c>
      <c r="U378" s="98">
        <f t="shared" si="85"/>
        <v>0</v>
      </c>
      <c r="V378" s="98">
        <f t="shared" si="86"/>
        <v>0</v>
      </c>
      <c r="W378" s="98">
        <f t="shared" si="87"/>
        <v>0</v>
      </c>
      <c r="X378" s="98">
        <f t="shared" si="88"/>
        <v>0</v>
      </c>
      <c r="Y378" s="104"/>
      <c r="Z378" s="105"/>
    </row>
    <row r="379" spans="1:26" s="101" customFormat="1" ht="46.5" customHeight="1">
      <c r="A379" s="5" t="s">
        <v>341</v>
      </c>
      <c r="B379" s="6" t="s">
        <v>327</v>
      </c>
      <c r="C379" s="6" t="s">
        <v>210</v>
      </c>
      <c r="D379" s="82" t="s">
        <v>194</v>
      </c>
      <c r="E379" s="106" t="s">
        <v>342</v>
      </c>
      <c r="F379" s="110"/>
      <c r="G379" s="98">
        <f t="shared" si="78"/>
        <v>287715.8</v>
      </c>
      <c r="H379" s="111">
        <f>+H381</f>
        <v>287715.8</v>
      </c>
      <c r="I379" s="111">
        <f>+I381</f>
        <v>0</v>
      </c>
      <c r="J379" s="98">
        <f t="shared" si="95"/>
        <v>289000</v>
      </c>
      <c r="K379" s="111">
        <f>+K381</f>
        <v>284000</v>
      </c>
      <c r="L379" s="111">
        <f>+L381</f>
        <v>5000</v>
      </c>
      <c r="M379" s="98">
        <f t="shared" si="96"/>
        <v>379000</v>
      </c>
      <c r="N379" s="111">
        <f>+N381</f>
        <v>379000</v>
      </c>
      <c r="O379" s="111">
        <f>+O381</f>
        <v>0</v>
      </c>
      <c r="P379" s="98">
        <f t="shared" si="80"/>
        <v>90000</v>
      </c>
      <c r="Q379" s="98">
        <f t="shared" si="81"/>
        <v>95000</v>
      </c>
      <c r="R379" s="98">
        <f t="shared" si="82"/>
        <v>-5000</v>
      </c>
      <c r="S379" s="98">
        <f t="shared" si="83"/>
        <v>379000</v>
      </c>
      <c r="T379" s="98">
        <f t="shared" si="84"/>
        <v>379000</v>
      </c>
      <c r="U379" s="98">
        <f t="shared" si="85"/>
        <v>0</v>
      </c>
      <c r="V379" s="98">
        <f t="shared" si="86"/>
        <v>379000</v>
      </c>
      <c r="W379" s="98">
        <f t="shared" si="87"/>
        <v>379000</v>
      </c>
      <c r="X379" s="98">
        <f t="shared" si="88"/>
        <v>0</v>
      </c>
      <c r="Y379" s="99"/>
      <c r="Z379" s="100"/>
    </row>
    <row r="380" spans="1:26" ht="12.75" customHeight="1">
      <c r="A380" s="12"/>
      <c r="B380" s="14"/>
      <c r="C380" s="14"/>
      <c r="D380" s="102"/>
      <c r="E380" s="103" t="s">
        <v>199</v>
      </c>
      <c r="F380" s="102"/>
      <c r="G380" s="98">
        <f t="shared" si="78"/>
        <v>0</v>
      </c>
      <c r="H380" s="45"/>
      <c r="I380" s="45"/>
      <c r="J380" s="98">
        <f t="shared" si="95"/>
        <v>0</v>
      </c>
      <c r="K380" s="54"/>
      <c r="L380" s="54"/>
      <c r="M380" s="98">
        <f t="shared" si="96"/>
        <v>0</v>
      </c>
      <c r="N380" s="45"/>
      <c r="O380" s="45"/>
      <c r="P380" s="98">
        <f t="shared" si="80"/>
        <v>0</v>
      </c>
      <c r="Q380" s="98">
        <f t="shared" si="81"/>
        <v>0</v>
      </c>
      <c r="R380" s="98">
        <f t="shared" si="82"/>
        <v>0</v>
      </c>
      <c r="S380" s="98">
        <f t="shared" si="83"/>
        <v>0</v>
      </c>
      <c r="T380" s="98">
        <f t="shared" si="84"/>
        <v>0</v>
      </c>
      <c r="U380" s="98">
        <f t="shared" si="85"/>
        <v>0</v>
      </c>
      <c r="V380" s="98">
        <f t="shared" si="86"/>
        <v>0</v>
      </c>
      <c r="W380" s="98">
        <f t="shared" si="87"/>
        <v>0</v>
      </c>
      <c r="X380" s="98">
        <f t="shared" si="88"/>
        <v>0</v>
      </c>
      <c r="Y380" s="104"/>
      <c r="Z380" s="105"/>
    </row>
    <row r="381" spans="1:26" ht="12.75" customHeight="1">
      <c r="A381" s="25" t="s">
        <v>343</v>
      </c>
      <c r="B381" s="26" t="s">
        <v>327</v>
      </c>
      <c r="C381" s="26" t="s">
        <v>210</v>
      </c>
      <c r="D381" s="26" t="s">
        <v>197</v>
      </c>
      <c r="E381" s="103" t="s">
        <v>344</v>
      </c>
      <c r="F381" s="102"/>
      <c r="G381" s="54">
        <f>+G383+G385+G387+G389+G391+G394</f>
        <v>287715.8</v>
      </c>
      <c r="H381" s="54">
        <f>+H383+H385+H387+H389+H391+H394</f>
        <v>287715.8</v>
      </c>
      <c r="I381" s="54">
        <f>+I383+I385+I387+I389+I391+I394</f>
        <v>0</v>
      </c>
      <c r="J381" s="98">
        <f t="shared" si="95"/>
        <v>289000</v>
      </c>
      <c r="K381" s="54">
        <f>+K383+K385+K387+K389+K391+K394</f>
        <v>284000</v>
      </c>
      <c r="L381" s="54">
        <f aca="true" t="shared" si="102" ref="L381:X381">+L383+L385+L387+L389+L391+L394</f>
        <v>5000</v>
      </c>
      <c r="M381" s="54">
        <f t="shared" si="102"/>
        <v>379000</v>
      </c>
      <c r="N381" s="54">
        <f>+N383+N385+N387+N389+N391+N394</f>
        <v>379000</v>
      </c>
      <c r="O381" s="54">
        <f>+O383+O385+O387+O389+O391+O394</f>
        <v>0</v>
      </c>
      <c r="P381" s="98">
        <f t="shared" si="80"/>
        <v>90000</v>
      </c>
      <c r="Q381" s="98">
        <f t="shared" si="81"/>
        <v>95000</v>
      </c>
      <c r="R381" s="98">
        <f t="shared" si="82"/>
        <v>-5000</v>
      </c>
      <c r="S381" s="98">
        <f t="shared" si="83"/>
        <v>379000</v>
      </c>
      <c r="T381" s="98">
        <f t="shared" si="84"/>
        <v>379000</v>
      </c>
      <c r="U381" s="98">
        <f t="shared" si="85"/>
        <v>0</v>
      </c>
      <c r="V381" s="98">
        <f t="shared" si="86"/>
        <v>379000</v>
      </c>
      <c r="W381" s="98">
        <f t="shared" si="87"/>
        <v>379000</v>
      </c>
      <c r="X381" s="98">
        <f t="shared" si="88"/>
        <v>0</v>
      </c>
      <c r="Y381" s="104"/>
      <c r="Z381" s="105"/>
    </row>
    <row r="382" spans="1:26" ht="12.75" customHeight="1">
      <c r="A382" s="12"/>
      <c r="B382" s="14"/>
      <c r="C382" s="14"/>
      <c r="D382" s="102"/>
      <c r="E382" s="103" t="s">
        <v>5</v>
      </c>
      <c r="F382" s="102"/>
      <c r="G382" s="98">
        <f aca="true" t="shared" si="103" ref="G382:G393">+H382+I382</f>
        <v>0</v>
      </c>
      <c r="H382" s="45"/>
      <c r="I382" s="45"/>
      <c r="J382" s="98">
        <f t="shared" si="95"/>
        <v>0</v>
      </c>
      <c r="K382" s="54"/>
      <c r="L382" s="54"/>
      <c r="M382" s="98">
        <f t="shared" si="96"/>
        <v>0</v>
      </c>
      <c r="N382" s="45"/>
      <c r="O382" s="45"/>
      <c r="P382" s="98">
        <f t="shared" si="80"/>
        <v>0</v>
      </c>
      <c r="Q382" s="98">
        <f t="shared" si="81"/>
        <v>0</v>
      </c>
      <c r="R382" s="98">
        <f t="shared" si="82"/>
        <v>0</v>
      </c>
      <c r="S382" s="98">
        <f t="shared" si="83"/>
        <v>0</v>
      </c>
      <c r="T382" s="98">
        <f t="shared" si="84"/>
        <v>0</v>
      </c>
      <c r="U382" s="98">
        <f t="shared" si="85"/>
        <v>0</v>
      </c>
      <c r="V382" s="98">
        <f t="shared" si="86"/>
        <v>0</v>
      </c>
      <c r="W382" s="98">
        <f t="shared" si="87"/>
        <v>0</v>
      </c>
      <c r="X382" s="98">
        <f t="shared" si="88"/>
        <v>0</v>
      </c>
      <c r="Y382" s="104"/>
      <c r="Z382" s="105"/>
    </row>
    <row r="383" spans="1:26" s="101" customFormat="1" ht="24" customHeight="1">
      <c r="A383" s="5"/>
      <c r="B383" s="6"/>
      <c r="C383" s="6"/>
      <c r="D383" s="82"/>
      <c r="E383" s="106" t="s">
        <v>614</v>
      </c>
      <c r="F383" s="110"/>
      <c r="G383" s="98">
        <f t="shared" si="103"/>
        <v>27465.3</v>
      </c>
      <c r="H383" s="111">
        <f aca="true" t="shared" si="104" ref="H383:X383">+H384</f>
        <v>27465.3</v>
      </c>
      <c r="I383" s="111">
        <f t="shared" si="104"/>
        <v>0</v>
      </c>
      <c r="J383" s="98">
        <f t="shared" si="95"/>
        <v>30000</v>
      </c>
      <c r="K383" s="111">
        <f t="shared" si="104"/>
        <v>30000</v>
      </c>
      <c r="L383" s="111">
        <f t="shared" si="104"/>
        <v>0</v>
      </c>
      <c r="M383" s="98">
        <f t="shared" si="96"/>
        <v>30000</v>
      </c>
      <c r="N383" s="111">
        <f t="shared" si="104"/>
        <v>30000</v>
      </c>
      <c r="O383" s="111">
        <f t="shared" si="104"/>
        <v>0</v>
      </c>
      <c r="P383" s="98">
        <f t="shared" si="80"/>
        <v>0</v>
      </c>
      <c r="Q383" s="98">
        <f t="shared" si="81"/>
        <v>0</v>
      </c>
      <c r="R383" s="98">
        <f t="shared" si="82"/>
        <v>0</v>
      </c>
      <c r="S383" s="98">
        <f t="shared" si="83"/>
        <v>30000</v>
      </c>
      <c r="T383" s="98">
        <f t="shared" si="84"/>
        <v>30000</v>
      </c>
      <c r="U383" s="98">
        <f t="shared" si="85"/>
        <v>0</v>
      </c>
      <c r="V383" s="98">
        <f t="shared" si="86"/>
        <v>30000</v>
      </c>
      <c r="W383" s="98">
        <f t="shared" si="87"/>
        <v>30000</v>
      </c>
      <c r="X383" s="98">
        <f t="shared" si="88"/>
        <v>0</v>
      </c>
      <c r="Y383" s="99"/>
      <c r="Z383" s="100"/>
    </row>
    <row r="384" spans="1:26" ht="12.75" customHeight="1">
      <c r="A384" s="12"/>
      <c r="B384" s="14"/>
      <c r="C384" s="14"/>
      <c r="D384" s="102"/>
      <c r="E384" s="103" t="s">
        <v>455</v>
      </c>
      <c r="F384" s="26" t="s">
        <v>456</v>
      </c>
      <c r="G384" s="98">
        <f t="shared" si="103"/>
        <v>27465.3</v>
      </c>
      <c r="H384" s="45">
        <v>27465.3</v>
      </c>
      <c r="I384" s="45"/>
      <c r="J384" s="98">
        <f t="shared" si="95"/>
        <v>30000</v>
      </c>
      <c r="K384" s="54">
        <v>30000</v>
      </c>
      <c r="L384" s="54"/>
      <c r="M384" s="98">
        <f t="shared" si="96"/>
        <v>30000</v>
      </c>
      <c r="N384" s="45">
        <v>30000</v>
      </c>
      <c r="O384" s="45"/>
      <c r="P384" s="98">
        <f t="shared" si="80"/>
        <v>0</v>
      </c>
      <c r="Q384" s="98">
        <f t="shared" si="81"/>
        <v>0</v>
      </c>
      <c r="R384" s="98">
        <f t="shared" si="82"/>
        <v>0</v>
      </c>
      <c r="S384" s="98">
        <f t="shared" si="83"/>
        <v>30000</v>
      </c>
      <c r="T384" s="98">
        <f t="shared" si="84"/>
        <v>30000</v>
      </c>
      <c r="U384" s="98">
        <f t="shared" si="85"/>
        <v>0</v>
      </c>
      <c r="V384" s="98">
        <f t="shared" si="86"/>
        <v>30000</v>
      </c>
      <c r="W384" s="98">
        <f t="shared" si="87"/>
        <v>30000</v>
      </c>
      <c r="X384" s="98">
        <f t="shared" si="88"/>
        <v>0</v>
      </c>
      <c r="Y384" s="104"/>
      <c r="Z384" s="105"/>
    </row>
    <row r="385" spans="1:26" s="101" customFormat="1" ht="21">
      <c r="A385" s="5"/>
      <c r="B385" s="6"/>
      <c r="C385" s="6"/>
      <c r="D385" s="82"/>
      <c r="E385" s="106" t="s">
        <v>615</v>
      </c>
      <c r="F385" s="110"/>
      <c r="G385" s="98">
        <f t="shared" si="103"/>
        <v>119800</v>
      </c>
      <c r="H385" s="111">
        <f aca="true" t="shared" si="105" ref="H385:X385">+H386</f>
        <v>119800</v>
      </c>
      <c r="I385" s="111">
        <f t="shared" si="105"/>
        <v>0</v>
      </c>
      <c r="J385" s="98">
        <f t="shared" si="95"/>
        <v>122000</v>
      </c>
      <c r="K385" s="111">
        <f t="shared" si="105"/>
        <v>122000</v>
      </c>
      <c r="L385" s="111">
        <f t="shared" si="105"/>
        <v>0</v>
      </c>
      <c r="M385" s="98">
        <f t="shared" si="96"/>
        <v>122000</v>
      </c>
      <c r="N385" s="111">
        <f t="shared" si="105"/>
        <v>122000</v>
      </c>
      <c r="O385" s="111">
        <f t="shared" si="105"/>
        <v>0</v>
      </c>
      <c r="P385" s="98">
        <f t="shared" si="80"/>
        <v>0</v>
      </c>
      <c r="Q385" s="98">
        <f t="shared" si="81"/>
        <v>0</v>
      </c>
      <c r="R385" s="98">
        <f t="shared" si="82"/>
        <v>0</v>
      </c>
      <c r="S385" s="98">
        <f t="shared" si="83"/>
        <v>122000</v>
      </c>
      <c r="T385" s="98">
        <f t="shared" si="84"/>
        <v>122000</v>
      </c>
      <c r="U385" s="98">
        <f t="shared" si="85"/>
        <v>0</v>
      </c>
      <c r="V385" s="98">
        <f t="shared" si="86"/>
        <v>122000</v>
      </c>
      <c r="W385" s="98">
        <f t="shared" si="87"/>
        <v>122000</v>
      </c>
      <c r="X385" s="98">
        <f t="shared" si="88"/>
        <v>0</v>
      </c>
      <c r="Y385" s="99"/>
      <c r="Z385" s="100"/>
    </row>
    <row r="386" spans="1:26" ht="12.75" customHeight="1">
      <c r="A386" s="12"/>
      <c r="B386" s="14"/>
      <c r="C386" s="14"/>
      <c r="D386" s="102"/>
      <c r="E386" s="103" t="s">
        <v>455</v>
      </c>
      <c r="F386" s="26" t="s">
        <v>456</v>
      </c>
      <c r="G386" s="98">
        <f t="shared" si="103"/>
        <v>119800</v>
      </c>
      <c r="H386" s="45">
        <v>119800</v>
      </c>
      <c r="I386" s="45"/>
      <c r="J386" s="98">
        <f t="shared" si="95"/>
        <v>122000</v>
      </c>
      <c r="K386" s="54">
        <v>122000</v>
      </c>
      <c r="L386" s="54"/>
      <c r="M386" s="98">
        <f t="shared" si="96"/>
        <v>122000</v>
      </c>
      <c r="N386" s="45">
        <v>122000</v>
      </c>
      <c r="O386" s="45"/>
      <c r="P386" s="98">
        <f t="shared" si="80"/>
        <v>0</v>
      </c>
      <c r="Q386" s="98">
        <f t="shared" si="81"/>
        <v>0</v>
      </c>
      <c r="R386" s="98">
        <f t="shared" si="82"/>
        <v>0</v>
      </c>
      <c r="S386" s="98">
        <f t="shared" si="83"/>
        <v>122000</v>
      </c>
      <c r="T386" s="98">
        <f t="shared" si="84"/>
        <v>122000</v>
      </c>
      <c r="U386" s="98">
        <f t="shared" si="85"/>
        <v>0</v>
      </c>
      <c r="V386" s="98">
        <f t="shared" si="86"/>
        <v>122000</v>
      </c>
      <c r="W386" s="98">
        <f t="shared" si="87"/>
        <v>122000</v>
      </c>
      <c r="X386" s="98">
        <f t="shared" si="88"/>
        <v>0</v>
      </c>
      <c r="Y386" s="104"/>
      <c r="Z386" s="105"/>
    </row>
    <row r="387" spans="1:26" s="101" customFormat="1" ht="10.5">
      <c r="A387" s="5"/>
      <c r="B387" s="6"/>
      <c r="C387" s="6"/>
      <c r="D387" s="82"/>
      <c r="E387" s="106" t="s">
        <v>617</v>
      </c>
      <c r="F387" s="110"/>
      <c r="G387" s="98">
        <f t="shared" si="103"/>
        <v>26450.5</v>
      </c>
      <c r="H387" s="111">
        <f aca="true" t="shared" si="106" ref="H387:X387">+H388</f>
        <v>26450.5</v>
      </c>
      <c r="I387" s="111">
        <f t="shared" si="106"/>
        <v>0</v>
      </c>
      <c r="J387" s="98">
        <f t="shared" si="95"/>
        <v>26000</v>
      </c>
      <c r="K387" s="111">
        <f t="shared" si="106"/>
        <v>26000</v>
      </c>
      <c r="L387" s="111">
        <f t="shared" si="106"/>
        <v>0</v>
      </c>
      <c r="M387" s="98">
        <f t="shared" si="96"/>
        <v>30000</v>
      </c>
      <c r="N387" s="111">
        <f t="shared" si="106"/>
        <v>30000</v>
      </c>
      <c r="O387" s="111">
        <f t="shared" si="106"/>
        <v>0</v>
      </c>
      <c r="P387" s="98">
        <f t="shared" si="80"/>
        <v>4000</v>
      </c>
      <c r="Q387" s="98">
        <f t="shared" si="81"/>
        <v>4000</v>
      </c>
      <c r="R387" s="98">
        <f t="shared" si="82"/>
        <v>0</v>
      </c>
      <c r="S387" s="98">
        <f t="shared" si="83"/>
        <v>30000</v>
      </c>
      <c r="T387" s="98">
        <f t="shared" si="84"/>
        <v>30000</v>
      </c>
      <c r="U387" s="98">
        <f t="shared" si="85"/>
        <v>0</v>
      </c>
      <c r="V387" s="98">
        <f t="shared" si="86"/>
        <v>30000</v>
      </c>
      <c r="W387" s="98">
        <f t="shared" si="87"/>
        <v>30000</v>
      </c>
      <c r="X387" s="98">
        <f t="shared" si="88"/>
        <v>0</v>
      </c>
      <c r="Y387" s="99"/>
      <c r="Z387" s="100"/>
    </row>
    <row r="388" spans="1:26" ht="12.75" customHeight="1">
      <c r="A388" s="12"/>
      <c r="B388" s="14"/>
      <c r="C388" s="14"/>
      <c r="D388" s="102"/>
      <c r="E388" s="103" t="s">
        <v>455</v>
      </c>
      <c r="F388" s="26" t="s">
        <v>456</v>
      </c>
      <c r="G388" s="98">
        <f t="shared" si="103"/>
        <v>26450.5</v>
      </c>
      <c r="H388" s="45">
        <v>26450.5</v>
      </c>
      <c r="I388" s="45"/>
      <c r="J388" s="98">
        <f t="shared" si="95"/>
        <v>26000</v>
      </c>
      <c r="K388" s="54">
        <v>26000</v>
      </c>
      <c r="L388" s="54"/>
      <c r="M388" s="98">
        <f t="shared" si="96"/>
        <v>30000</v>
      </c>
      <c r="N388" s="45">
        <v>30000</v>
      </c>
      <c r="O388" s="45"/>
      <c r="P388" s="98">
        <f t="shared" si="80"/>
        <v>4000</v>
      </c>
      <c r="Q388" s="98">
        <f t="shared" si="81"/>
        <v>4000</v>
      </c>
      <c r="R388" s="98">
        <f t="shared" si="82"/>
        <v>0</v>
      </c>
      <c r="S388" s="98">
        <f t="shared" si="83"/>
        <v>30000</v>
      </c>
      <c r="T388" s="98">
        <f t="shared" si="84"/>
        <v>30000</v>
      </c>
      <c r="U388" s="98">
        <f t="shared" si="85"/>
        <v>0</v>
      </c>
      <c r="V388" s="98">
        <f t="shared" si="86"/>
        <v>30000</v>
      </c>
      <c r="W388" s="98">
        <f t="shared" si="87"/>
        <v>30000</v>
      </c>
      <c r="X388" s="98">
        <f t="shared" si="88"/>
        <v>0</v>
      </c>
      <c r="Y388" s="104"/>
      <c r="Z388" s="105"/>
    </row>
    <row r="389" spans="1:26" s="101" customFormat="1" ht="33" customHeight="1">
      <c r="A389" s="5"/>
      <c r="B389" s="6"/>
      <c r="C389" s="6"/>
      <c r="D389" s="82"/>
      <c r="E389" s="106" t="s">
        <v>620</v>
      </c>
      <c r="F389" s="110"/>
      <c r="G389" s="98">
        <f t="shared" si="103"/>
        <v>85500</v>
      </c>
      <c r="H389" s="111">
        <f aca="true" t="shared" si="107" ref="H389:X389">+H390</f>
        <v>85500</v>
      </c>
      <c r="I389" s="111">
        <f t="shared" si="107"/>
        <v>0</v>
      </c>
      <c r="J389" s="98">
        <f t="shared" si="95"/>
        <v>79000</v>
      </c>
      <c r="K389" s="111">
        <f t="shared" si="107"/>
        <v>79000</v>
      </c>
      <c r="L389" s="111">
        <f t="shared" si="107"/>
        <v>0</v>
      </c>
      <c r="M389" s="98">
        <f t="shared" si="96"/>
        <v>170000</v>
      </c>
      <c r="N389" s="111">
        <f t="shared" si="107"/>
        <v>170000</v>
      </c>
      <c r="O389" s="111">
        <f t="shared" si="107"/>
        <v>0</v>
      </c>
      <c r="P389" s="98">
        <f t="shared" si="80"/>
        <v>91000</v>
      </c>
      <c r="Q389" s="98">
        <f t="shared" si="81"/>
        <v>91000</v>
      </c>
      <c r="R389" s="98">
        <f t="shared" si="82"/>
        <v>0</v>
      </c>
      <c r="S389" s="98">
        <f t="shared" si="83"/>
        <v>170000</v>
      </c>
      <c r="T389" s="98">
        <f t="shared" si="84"/>
        <v>170000</v>
      </c>
      <c r="U389" s="98">
        <f t="shared" si="85"/>
        <v>0</v>
      </c>
      <c r="V389" s="98">
        <f t="shared" si="86"/>
        <v>170000</v>
      </c>
      <c r="W389" s="98">
        <f t="shared" si="87"/>
        <v>170000</v>
      </c>
      <c r="X389" s="98">
        <f t="shared" si="88"/>
        <v>0</v>
      </c>
      <c r="Y389" s="99"/>
      <c r="Z389" s="100"/>
    </row>
    <row r="390" spans="1:26" ht="12.75" customHeight="1">
      <c r="A390" s="12"/>
      <c r="B390" s="14"/>
      <c r="C390" s="14"/>
      <c r="D390" s="102"/>
      <c r="E390" s="103" t="s">
        <v>455</v>
      </c>
      <c r="F390" s="26" t="s">
        <v>456</v>
      </c>
      <c r="G390" s="98">
        <f t="shared" si="103"/>
        <v>85500</v>
      </c>
      <c r="H390" s="45">
        <v>85500</v>
      </c>
      <c r="I390" s="45"/>
      <c r="J390" s="98">
        <f t="shared" si="95"/>
        <v>79000</v>
      </c>
      <c r="K390" s="54">
        <v>79000</v>
      </c>
      <c r="L390" s="54"/>
      <c r="M390" s="98">
        <f t="shared" si="96"/>
        <v>170000</v>
      </c>
      <c r="N390" s="45">
        <v>170000</v>
      </c>
      <c r="O390" s="45"/>
      <c r="P390" s="98">
        <f t="shared" si="80"/>
        <v>91000</v>
      </c>
      <c r="Q390" s="98">
        <f t="shared" si="81"/>
        <v>91000</v>
      </c>
      <c r="R390" s="98">
        <f t="shared" si="82"/>
        <v>0</v>
      </c>
      <c r="S390" s="98">
        <f t="shared" si="83"/>
        <v>170000</v>
      </c>
      <c r="T390" s="98">
        <f t="shared" si="84"/>
        <v>170000</v>
      </c>
      <c r="U390" s="98">
        <f t="shared" si="85"/>
        <v>0</v>
      </c>
      <c r="V390" s="98">
        <f t="shared" si="86"/>
        <v>170000</v>
      </c>
      <c r="W390" s="98">
        <f t="shared" si="87"/>
        <v>170000</v>
      </c>
      <c r="X390" s="98">
        <f t="shared" si="88"/>
        <v>0</v>
      </c>
      <c r="Y390" s="104"/>
      <c r="Z390" s="105"/>
    </row>
    <row r="391" spans="1:26" s="101" customFormat="1" ht="33.75" customHeight="1">
      <c r="A391" s="5"/>
      <c r="B391" s="6"/>
      <c r="C391" s="6"/>
      <c r="D391" s="82"/>
      <c r="E391" s="106" t="s">
        <v>639</v>
      </c>
      <c r="F391" s="110"/>
      <c r="G391" s="98">
        <f t="shared" si="103"/>
        <v>28500</v>
      </c>
      <c r="H391" s="111">
        <f>+H392+H393</f>
        <v>28500</v>
      </c>
      <c r="I391" s="111">
        <f>+I392+I393</f>
        <v>0</v>
      </c>
      <c r="J391" s="98">
        <f t="shared" si="95"/>
        <v>27000</v>
      </c>
      <c r="K391" s="111">
        <f>+K392</f>
        <v>27000</v>
      </c>
      <c r="L391" s="111">
        <f>+L392</f>
        <v>0</v>
      </c>
      <c r="M391" s="98">
        <f t="shared" si="96"/>
        <v>27000</v>
      </c>
      <c r="N391" s="111">
        <f>+N392+N393</f>
        <v>27000</v>
      </c>
      <c r="O391" s="111">
        <f>+O392+O393</f>
        <v>0</v>
      </c>
      <c r="P391" s="98">
        <f t="shared" si="80"/>
        <v>0</v>
      </c>
      <c r="Q391" s="98">
        <f t="shared" si="81"/>
        <v>0</v>
      </c>
      <c r="R391" s="98">
        <f t="shared" si="82"/>
        <v>0</v>
      </c>
      <c r="S391" s="98">
        <f t="shared" si="83"/>
        <v>27000</v>
      </c>
      <c r="T391" s="98">
        <f t="shared" si="84"/>
        <v>27000</v>
      </c>
      <c r="U391" s="98">
        <f t="shared" si="85"/>
        <v>0</v>
      </c>
      <c r="V391" s="98">
        <f t="shared" si="86"/>
        <v>27000</v>
      </c>
      <c r="W391" s="98">
        <f t="shared" si="87"/>
        <v>27000</v>
      </c>
      <c r="X391" s="98">
        <f t="shared" si="88"/>
        <v>0</v>
      </c>
      <c r="Y391" s="99"/>
      <c r="Z391" s="100"/>
    </row>
    <row r="392" spans="1:26" ht="12.75" customHeight="1">
      <c r="A392" s="12"/>
      <c r="B392" s="14"/>
      <c r="C392" s="14"/>
      <c r="D392" s="102"/>
      <c r="E392" s="103" t="s">
        <v>455</v>
      </c>
      <c r="F392" s="26">
        <v>4511</v>
      </c>
      <c r="G392" s="98">
        <f t="shared" si="103"/>
        <v>25500</v>
      </c>
      <c r="H392" s="45">
        <v>25500</v>
      </c>
      <c r="I392" s="45"/>
      <c r="J392" s="98">
        <f t="shared" si="95"/>
        <v>27000</v>
      </c>
      <c r="K392" s="54">
        <v>27000</v>
      </c>
      <c r="L392" s="54"/>
      <c r="M392" s="98">
        <f t="shared" si="96"/>
        <v>27000</v>
      </c>
      <c r="N392" s="45">
        <v>27000</v>
      </c>
      <c r="O392" s="45"/>
      <c r="P392" s="98">
        <f t="shared" si="80"/>
        <v>0</v>
      </c>
      <c r="Q392" s="98">
        <f t="shared" si="81"/>
        <v>0</v>
      </c>
      <c r="R392" s="98">
        <f t="shared" si="82"/>
        <v>0</v>
      </c>
      <c r="S392" s="98">
        <f t="shared" si="83"/>
        <v>27000</v>
      </c>
      <c r="T392" s="98">
        <f t="shared" si="84"/>
        <v>27000</v>
      </c>
      <c r="U392" s="98">
        <f t="shared" si="85"/>
        <v>0</v>
      </c>
      <c r="V392" s="98">
        <f t="shared" si="86"/>
        <v>27000</v>
      </c>
      <c r="W392" s="98">
        <f t="shared" si="87"/>
        <v>27000</v>
      </c>
      <c r="X392" s="98">
        <f t="shared" si="88"/>
        <v>0</v>
      </c>
      <c r="Y392" s="104"/>
      <c r="Z392" s="105"/>
    </row>
    <row r="393" spans="1:26" ht="12.75" customHeight="1">
      <c r="A393" s="12"/>
      <c r="B393" s="14"/>
      <c r="C393" s="14"/>
      <c r="D393" s="102"/>
      <c r="E393" s="103" t="s">
        <v>734</v>
      </c>
      <c r="F393" s="26">
        <v>4657</v>
      </c>
      <c r="G393" s="98">
        <f t="shared" si="103"/>
        <v>3000</v>
      </c>
      <c r="H393" s="45">
        <v>3000</v>
      </c>
      <c r="I393" s="45">
        <v>0</v>
      </c>
      <c r="J393" s="98"/>
      <c r="K393" s="54"/>
      <c r="L393" s="54"/>
      <c r="M393" s="98"/>
      <c r="N393" s="45"/>
      <c r="O393" s="45">
        <v>0</v>
      </c>
      <c r="P393" s="98">
        <f t="shared" si="80"/>
        <v>0</v>
      </c>
      <c r="Q393" s="98">
        <f t="shared" si="81"/>
        <v>0</v>
      </c>
      <c r="R393" s="98">
        <f t="shared" si="82"/>
        <v>0</v>
      </c>
      <c r="S393" s="98">
        <f t="shared" si="83"/>
        <v>0</v>
      </c>
      <c r="T393" s="98">
        <f t="shared" si="84"/>
        <v>0</v>
      </c>
      <c r="U393" s="98">
        <f t="shared" si="85"/>
        <v>0</v>
      </c>
      <c r="V393" s="98">
        <f t="shared" si="86"/>
        <v>0</v>
      </c>
      <c r="W393" s="98">
        <f t="shared" si="87"/>
        <v>0</v>
      </c>
      <c r="X393" s="98">
        <f t="shared" si="88"/>
        <v>0</v>
      </c>
      <c r="Y393" s="104"/>
      <c r="Z393" s="105"/>
    </row>
    <row r="394" spans="1:26" ht="12.75" customHeight="1">
      <c r="A394" s="12"/>
      <c r="B394" s="14"/>
      <c r="C394" s="14"/>
      <c r="D394" s="102"/>
      <c r="E394" s="106" t="s">
        <v>695</v>
      </c>
      <c r="F394" s="26"/>
      <c r="G394" s="54">
        <f>+G395</f>
        <v>0</v>
      </c>
      <c r="H394" s="54">
        <f>+H395</f>
        <v>0</v>
      </c>
      <c r="I394" s="54">
        <f>+I395</f>
        <v>0</v>
      </c>
      <c r="J394" s="98">
        <f t="shared" si="95"/>
        <v>5000</v>
      </c>
      <c r="K394" s="54">
        <f>+K395</f>
        <v>0</v>
      </c>
      <c r="L394" s="54">
        <f aca="true" t="shared" si="108" ref="L394:X394">+L395</f>
        <v>5000</v>
      </c>
      <c r="M394" s="54">
        <f t="shared" si="108"/>
        <v>0</v>
      </c>
      <c r="N394" s="54">
        <f>+N395</f>
        <v>0</v>
      </c>
      <c r="O394" s="54">
        <f>+O395</f>
        <v>0</v>
      </c>
      <c r="P394" s="98">
        <f t="shared" si="80"/>
        <v>-5000</v>
      </c>
      <c r="Q394" s="98">
        <f t="shared" si="81"/>
        <v>0</v>
      </c>
      <c r="R394" s="98">
        <f t="shared" si="82"/>
        <v>-5000</v>
      </c>
      <c r="S394" s="98">
        <f t="shared" si="83"/>
        <v>0</v>
      </c>
      <c r="T394" s="98">
        <f t="shared" si="84"/>
        <v>0</v>
      </c>
      <c r="U394" s="98">
        <f t="shared" si="85"/>
        <v>0</v>
      </c>
      <c r="V394" s="98">
        <f t="shared" si="86"/>
        <v>0</v>
      </c>
      <c r="W394" s="98">
        <f t="shared" si="87"/>
        <v>0</v>
      </c>
      <c r="X394" s="98">
        <f t="shared" si="88"/>
        <v>0</v>
      </c>
      <c r="Y394" s="104"/>
      <c r="Z394" s="105"/>
    </row>
    <row r="395" spans="1:26" ht="12.75" customHeight="1">
      <c r="A395" s="12"/>
      <c r="B395" s="14"/>
      <c r="C395" s="14"/>
      <c r="D395" s="102"/>
      <c r="E395" s="103" t="s">
        <v>529</v>
      </c>
      <c r="F395" s="26">
        <v>5122</v>
      </c>
      <c r="G395" s="98"/>
      <c r="H395" s="45"/>
      <c r="I395" s="45"/>
      <c r="J395" s="98">
        <f t="shared" si="95"/>
        <v>5000</v>
      </c>
      <c r="K395" s="54"/>
      <c r="L395" s="54">
        <v>5000</v>
      </c>
      <c r="M395" s="98"/>
      <c r="N395" s="45"/>
      <c r="O395" s="45"/>
      <c r="P395" s="98">
        <f aca="true" t="shared" si="109" ref="P395:P415">+M395-J395</f>
        <v>-5000</v>
      </c>
      <c r="Q395" s="98">
        <f aca="true" t="shared" si="110" ref="Q395:Q415">+N395-K395</f>
        <v>0</v>
      </c>
      <c r="R395" s="98">
        <f aca="true" t="shared" si="111" ref="R395:R415">+O395-L395</f>
        <v>-5000</v>
      </c>
      <c r="S395" s="98">
        <f aca="true" t="shared" si="112" ref="S395:S415">+M395</f>
        <v>0</v>
      </c>
      <c r="T395" s="98">
        <f aca="true" t="shared" si="113" ref="T395:T415">+N395</f>
        <v>0</v>
      </c>
      <c r="U395" s="98">
        <f aca="true" t="shared" si="114" ref="U395:U415">+O395</f>
        <v>0</v>
      </c>
      <c r="V395" s="98">
        <f aca="true" t="shared" si="115" ref="V395:V415">+M395</f>
        <v>0</v>
      </c>
      <c r="W395" s="98">
        <f aca="true" t="shared" si="116" ref="W395:W415">+N395</f>
        <v>0</v>
      </c>
      <c r="X395" s="98">
        <f aca="true" t="shared" si="117" ref="X395:X415">+O395</f>
        <v>0</v>
      </c>
      <c r="Y395" s="104"/>
      <c r="Z395" s="105"/>
    </row>
    <row r="396" spans="1:26" s="101" customFormat="1" ht="46.5" customHeight="1">
      <c r="A396" s="5" t="s">
        <v>348</v>
      </c>
      <c r="B396" s="6" t="s">
        <v>349</v>
      </c>
      <c r="C396" s="6" t="s">
        <v>194</v>
      </c>
      <c r="D396" s="82" t="s">
        <v>194</v>
      </c>
      <c r="E396" s="106" t="s">
        <v>350</v>
      </c>
      <c r="F396" s="110"/>
      <c r="G396" s="98">
        <f aca="true" t="shared" si="118" ref="G396:G415">+H396+I396</f>
        <v>24538.7</v>
      </c>
      <c r="H396" s="111">
        <f>+H401+H398</f>
        <v>24538.7</v>
      </c>
      <c r="I396" s="111">
        <f>+I401</f>
        <v>0</v>
      </c>
      <c r="J396" s="98">
        <f t="shared" si="95"/>
        <v>9000</v>
      </c>
      <c r="K396" s="111">
        <f>+K401</f>
        <v>9000</v>
      </c>
      <c r="L396" s="111">
        <f>+L401</f>
        <v>0</v>
      </c>
      <c r="M396" s="98">
        <f t="shared" si="96"/>
        <v>7000</v>
      </c>
      <c r="N396" s="111">
        <f>+N401+N398</f>
        <v>7000</v>
      </c>
      <c r="O396" s="111">
        <f>+O401</f>
        <v>0</v>
      </c>
      <c r="P396" s="98">
        <f t="shared" si="109"/>
        <v>-2000</v>
      </c>
      <c r="Q396" s="98">
        <f t="shared" si="110"/>
        <v>-2000</v>
      </c>
      <c r="R396" s="98">
        <f t="shared" si="111"/>
        <v>0</v>
      </c>
      <c r="S396" s="98">
        <f t="shared" si="112"/>
        <v>7000</v>
      </c>
      <c r="T396" s="98">
        <f t="shared" si="113"/>
        <v>7000</v>
      </c>
      <c r="U396" s="98">
        <f t="shared" si="114"/>
        <v>0</v>
      </c>
      <c r="V396" s="98">
        <f t="shared" si="115"/>
        <v>7000</v>
      </c>
      <c r="W396" s="98">
        <f t="shared" si="116"/>
        <v>7000</v>
      </c>
      <c r="X396" s="98">
        <f t="shared" si="117"/>
        <v>0</v>
      </c>
      <c r="Y396" s="99"/>
      <c r="Z396" s="100"/>
    </row>
    <row r="397" spans="1:26" ht="12.75" customHeight="1">
      <c r="A397" s="12"/>
      <c r="B397" s="14"/>
      <c r="C397" s="14"/>
      <c r="D397" s="102"/>
      <c r="E397" s="103" t="s">
        <v>5</v>
      </c>
      <c r="F397" s="102"/>
      <c r="G397" s="98">
        <f t="shared" si="118"/>
        <v>0</v>
      </c>
      <c r="H397" s="45"/>
      <c r="I397" s="45"/>
      <c r="J397" s="98">
        <f t="shared" si="95"/>
        <v>0</v>
      </c>
      <c r="K397" s="54"/>
      <c r="L397" s="54"/>
      <c r="M397" s="98">
        <f t="shared" si="96"/>
        <v>0</v>
      </c>
      <c r="N397" s="45"/>
      <c r="O397" s="45"/>
      <c r="P397" s="98">
        <f t="shared" si="109"/>
        <v>0</v>
      </c>
      <c r="Q397" s="98">
        <f t="shared" si="110"/>
        <v>0</v>
      </c>
      <c r="R397" s="98">
        <f t="shared" si="111"/>
        <v>0</v>
      </c>
      <c r="S397" s="98">
        <f t="shared" si="112"/>
        <v>0</v>
      </c>
      <c r="T397" s="98">
        <f t="shared" si="113"/>
        <v>0</v>
      </c>
      <c r="U397" s="98">
        <f t="shared" si="114"/>
        <v>0</v>
      </c>
      <c r="V397" s="98">
        <f t="shared" si="115"/>
        <v>0</v>
      </c>
      <c r="W397" s="98">
        <f t="shared" si="116"/>
        <v>0</v>
      </c>
      <c r="X397" s="98">
        <f t="shared" si="117"/>
        <v>0</v>
      </c>
      <c r="Y397" s="104"/>
      <c r="Z397" s="105"/>
    </row>
    <row r="398" spans="1:26" ht="12.75" customHeight="1">
      <c r="A398" s="10" t="s">
        <v>351</v>
      </c>
      <c r="B398" s="7" t="s">
        <v>349</v>
      </c>
      <c r="C398" s="7" t="s">
        <v>203</v>
      </c>
      <c r="D398" s="7" t="s">
        <v>194</v>
      </c>
      <c r="E398" s="28" t="s">
        <v>352</v>
      </c>
      <c r="F398" s="102"/>
      <c r="G398" s="98">
        <f t="shared" si="118"/>
        <v>240</v>
      </c>
      <c r="H398" s="45">
        <f>+H399</f>
        <v>240</v>
      </c>
      <c r="I398" s="45"/>
      <c r="J398" s="98"/>
      <c r="K398" s="54"/>
      <c r="L398" s="54"/>
      <c r="M398" s="98"/>
      <c r="N398" s="45">
        <f>+N399</f>
        <v>0</v>
      </c>
      <c r="O398" s="45"/>
      <c r="P398" s="98">
        <f t="shared" si="109"/>
        <v>0</v>
      </c>
      <c r="Q398" s="98">
        <f t="shared" si="110"/>
        <v>0</v>
      </c>
      <c r="R398" s="98">
        <f t="shared" si="111"/>
        <v>0</v>
      </c>
      <c r="S398" s="98">
        <f t="shared" si="112"/>
        <v>0</v>
      </c>
      <c r="T398" s="98">
        <f t="shared" si="113"/>
        <v>0</v>
      </c>
      <c r="U398" s="98">
        <f t="shared" si="114"/>
        <v>0</v>
      </c>
      <c r="V398" s="98">
        <f t="shared" si="115"/>
        <v>0</v>
      </c>
      <c r="W398" s="98">
        <f t="shared" si="116"/>
        <v>0</v>
      </c>
      <c r="X398" s="98">
        <f t="shared" si="117"/>
        <v>0</v>
      </c>
      <c r="Y398" s="104"/>
      <c r="Z398" s="105"/>
    </row>
    <row r="399" spans="1:26" ht="12.75" customHeight="1">
      <c r="A399" s="25" t="s">
        <v>353</v>
      </c>
      <c r="B399" s="26" t="s">
        <v>349</v>
      </c>
      <c r="C399" s="26" t="s">
        <v>203</v>
      </c>
      <c r="D399" s="26" t="s">
        <v>197</v>
      </c>
      <c r="E399" s="13" t="s">
        <v>352</v>
      </c>
      <c r="F399" s="102"/>
      <c r="G399" s="98">
        <f t="shared" si="118"/>
        <v>240</v>
      </c>
      <c r="H399" s="45">
        <f>+H400</f>
        <v>240</v>
      </c>
      <c r="I399" s="45"/>
      <c r="J399" s="98"/>
      <c r="K399" s="54"/>
      <c r="L399" s="54"/>
      <c r="M399" s="98"/>
      <c r="N399" s="45">
        <f>+N400</f>
        <v>0</v>
      </c>
      <c r="O399" s="45"/>
      <c r="P399" s="98">
        <f t="shared" si="109"/>
        <v>0</v>
      </c>
      <c r="Q399" s="98">
        <f t="shared" si="110"/>
        <v>0</v>
      </c>
      <c r="R399" s="98">
        <f t="shared" si="111"/>
        <v>0</v>
      </c>
      <c r="S399" s="98">
        <f t="shared" si="112"/>
        <v>0</v>
      </c>
      <c r="T399" s="98">
        <f t="shared" si="113"/>
        <v>0</v>
      </c>
      <c r="U399" s="98">
        <f t="shared" si="114"/>
        <v>0</v>
      </c>
      <c r="V399" s="98">
        <f t="shared" si="115"/>
        <v>0</v>
      </c>
      <c r="W399" s="98">
        <f t="shared" si="116"/>
        <v>0</v>
      </c>
      <c r="X399" s="98">
        <f t="shared" si="117"/>
        <v>0</v>
      </c>
      <c r="Y399" s="104"/>
      <c r="Z399" s="105"/>
    </row>
    <row r="400" spans="1:26" ht="12.75" customHeight="1">
      <c r="A400" s="12"/>
      <c r="B400" s="14"/>
      <c r="C400" s="14"/>
      <c r="D400" s="102"/>
      <c r="E400" s="103" t="s">
        <v>488</v>
      </c>
      <c r="F400" s="26">
        <v>4729</v>
      </c>
      <c r="G400" s="98">
        <f t="shared" si="118"/>
        <v>240</v>
      </c>
      <c r="H400" s="45">
        <v>240</v>
      </c>
      <c r="I400" s="45"/>
      <c r="J400" s="98"/>
      <c r="K400" s="54"/>
      <c r="L400" s="54"/>
      <c r="M400" s="98"/>
      <c r="N400" s="45"/>
      <c r="O400" s="45"/>
      <c r="P400" s="98">
        <f t="shared" si="109"/>
        <v>0</v>
      </c>
      <c r="Q400" s="98">
        <f t="shared" si="110"/>
        <v>0</v>
      </c>
      <c r="R400" s="98">
        <f t="shared" si="111"/>
        <v>0</v>
      </c>
      <c r="S400" s="98">
        <f t="shared" si="112"/>
        <v>0</v>
      </c>
      <c r="T400" s="98">
        <f t="shared" si="113"/>
        <v>0</v>
      </c>
      <c r="U400" s="98">
        <f t="shared" si="114"/>
        <v>0</v>
      </c>
      <c r="V400" s="98">
        <f t="shared" si="115"/>
        <v>0</v>
      </c>
      <c r="W400" s="98">
        <f t="shared" si="116"/>
        <v>0</v>
      </c>
      <c r="X400" s="98">
        <f t="shared" si="117"/>
        <v>0</v>
      </c>
      <c r="Y400" s="104"/>
      <c r="Z400" s="105"/>
    </row>
    <row r="401" spans="1:26" s="101" customFormat="1" ht="46.5" customHeight="1">
      <c r="A401" s="5" t="s">
        <v>357</v>
      </c>
      <c r="B401" s="6" t="s">
        <v>349</v>
      </c>
      <c r="C401" s="6" t="s">
        <v>250</v>
      </c>
      <c r="D401" s="82" t="s">
        <v>194</v>
      </c>
      <c r="E401" s="106" t="s">
        <v>358</v>
      </c>
      <c r="F401" s="110"/>
      <c r="G401" s="98">
        <f t="shared" si="118"/>
        <v>24298.7</v>
      </c>
      <c r="H401" s="111">
        <f>+H403</f>
        <v>24298.7</v>
      </c>
      <c r="I401" s="111">
        <f>+I403</f>
        <v>0</v>
      </c>
      <c r="J401" s="98">
        <f t="shared" si="95"/>
        <v>9000</v>
      </c>
      <c r="K401" s="111">
        <f>+K403</f>
        <v>9000</v>
      </c>
      <c r="L401" s="111">
        <f>+L403</f>
        <v>0</v>
      </c>
      <c r="M401" s="98">
        <f t="shared" si="96"/>
        <v>7000</v>
      </c>
      <c r="N401" s="111">
        <f>+N403</f>
        <v>7000</v>
      </c>
      <c r="O401" s="111">
        <f>+O403</f>
        <v>0</v>
      </c>
      <c r="P401" s="98">
        <f t="shared" si="109"/>
        <v>-2000</v>
      </c>
      <c r="Q401" s="98">
        <f t="shared" si="110"/>
        <v>-2000</v>
      </c>
      <c r="R401" s="98">
        <f t="shared" si="111"/>
        <v>0</v>
      </c>
      <c r="S401" s="98">
        <f t="shared" si="112"/>
        <v>7000</v>
      </c>
      <c r="T401" s="98">
        <f t="shared" si="113"/>
        <v>7000</v>
      </c>
      <c r="U401" s="98">
        <f t="shared" si="114"/>
        <v>0</v>
      </c>
      <c r="V401" s="98">
        <f t="shared" si="115"/>
        <v>7000</v>
      </c>
      <c r="W401" s="98">
        <f t="shared" si="116"/>
        <v>7000</v>
      </c>
      <c r="X401" s="98">
        <f t="shared" si="117"/>
        <v>0</v>
      </c>
      <c r="Y401" s="99"/>
      <c r="Z401" s="100"/>
    </row>
    <row r="402" spans="1:26" ht="12.75" customHeight="1">
      <c r="A402" s="12"/>
      <c r="B402" s="14"/>
      <c r="C402" s="14"/>
      <c r="D402" s="102"/>
      <c r="E402" s="103" t="s">
        <v>199</v>
      </c>
      <c r="F402" s="102"/>
      <c r="G402" s="98">
        <f t="shared" si="118"/>
        <v>0</v>
      </c>
      <c r="H402" s="45"/>
      <c r="I402" s="45"/>
      <c r="J402" s="98">
        <f t="shared" si="95"/>
        <v>0</v>
      </c>
      <c r="K402" s="54"/>
      <c r="L402" s="54"/>
      <c r="M402" s="98">
        <f t="shared" si="96"/>
        <v>0</v>
      </c>
      <c r="N402" s="45"/>
      <c r="O402" s="45"/>
      <c r="P402" s="98">
        <f t="shared" si="109"/>
        <v>0</v>
      </c>
      <c r="Q402" s="98">
        <f t="shared" si="110"/>
        <v>0</v>
      </c>
      <c r="R402" s="98">
        <f t="shared" si="111"/>
        <v>0</v>
      </c>
      <c r="S402" s="98">
        <f t="shared" si="112"/>
        <v>0</v>
      </c>
      <c r="T402" s="98">
        <f t="shared" si="113"/>
        <v>0</v>
      </c>
      <c r="U402" s="98">
        <f t="shared" si="114"/>
        <v>0</v>
      </c>
      <c r="V402" s="98">
        <f t="shared" si="115"/>
        <v>0</v>
      </c>
      <c r="W402" s="98">
        <f t="shared" si="116"/>
        <v>0</v>
      </c>
      <c r="X402" s="98">
        <f t="shared" si="117"/>
        <v>0</v>
      </c>
      <c r="Y402" s="104"/>
      <c r="Z402" s="105"/>
    </row>
    <row r="403" spans="1:26" ht="24" customHeight="1">
      <c r="A403" s="25" t="s">
        <v>359</v>
      </c>
      <c r="B403" s="26" t="s">
        <v>349</v>
      </c>
      <c r="C403" s="26" t="s">
        <v>250</v>
      </c>
      <c r="D403" s="26" t="s">
        <v>197</v>
      </c>
      <c r="E403" s="103" t="s">
        <v>358</v>
      </c>
      <c r="F403" s="102"/>
      <c r="G403" s="98">
        <f t="shared" si="118"/>
        <v>24298.7</v>
      </c>
      <c r="H403" s="54">
        <f>+H405</f>
        <v>24298.7</v>
      </c>
      <c r="I403" s="54">
        <f>+I405</f>
        <v>0</v>
      </c>
      <c r="J403" s="98">
        <f t="shared" si="95"/>
        <v>9000</v>
      </c>
      <c r="K403" s="54">
        <f>+K405</f>
        <v>9000</v>
      </c>
      <c r="L403" s="54">
        <f>+L405</f>
        <v>0</v>
      </c>
      <c r="M403" s="98">
        <f t="shared" si="96"/>
        <v>7000</v>
      </c>
      <c r="N403" s="54">
        <f>+N405</f>
        <v>7000</v>
      </c>
      <c r="O403" s="54">
        <f>+O405</f>
        <v>0</v>
      </c>
      <c r="P403" s="98">
        <f t="shared" si="109"/>
        <v>-2000</v>
      </c>
      <c r="Q403" s="98">
        <f t="shared" si="110"/>
        <v>-2000</v>
      </c>
      <c r="R403" s="98">
        <f t="shared" si="111"/>
        <v>0</v>
      </c>
      <c r="S403" s="98">
        <f t="shared" si="112"/>
        <v>7000</v>
      </c>
      <c r="T403" s="98">
        <f t="shared" si="113"/>
        <v>7000</v>
      </c>
      <c r="U403" s="98">
        <f t="shared" si="114"/>
        <v>0</v>
      </c>
      <c r="V403" s="98">
        <f t="shared" si="115"/>
        <v>7000</v>
      </c>
      <c r="W403" s="98">
        <f t="shared" si="116"/>
        <v>7000</v>
      </c>
      <c r="X403" s="98">
        <f t="shared" si="117"/>
        <v>0</v>
      </c>
      <c r="Y403" s="104"/>
      <c r="Z403" s="105"/>
    </row>
    <row r="404" spans="1:26" ht="12.75" customHeight="1">
      <c r="A404" s="12"/>
      <c r="B404" s="14"/>
      <c r="C404" s="14"/>
      <c r="D404" s="102"/>
      <c r="E404" s="103" t="s">
        <v>5</v>
      </c>
      <c r="F404" s="102"/>
      <c r="G404" s="98">
        <f t="shared" si="118"/>
        <v>0</v>
      </c>
      <c r="H404" s="45"/>
      <c r="I404" s="45"/>
      <c r="J404" s="98">
        <f t="shared" si="95"/>
        <v>0</v>
      </c>
      <c r="K404" s="54"/>
      <c r="L404" s="54"/>
      <c r="M404" s="98">
        <f t="shared" si="96"/>
        <v>0</v>
      </c>
      <c r="N404" s="45"/>
      <c r="O404" s="45"/>
      <c r="P404" s="98">
        <f t="shared" si="109"/>
        <v>0</v>
      </c>
      <c r="Q404" s="98">
        <f t="shared" si="110"/>
        <v>0</v>
      </c>
      <c r="R404" s="98">
        <f t="shared" si="111"/>
        <v>0</v>
      </c>
      <c r="S404" s="98">
        <f t="shared" si="112"/>
        <v>0</v>
      </c>
      <c r="T404" s="98">
        <f t="shared" si="113"/>
        <v>0</v>
      </c>
      <c r="U404" s="98">
        <f t="shared" si="114"/>
        <v>0</v>
      </c>
      <c r="V404" s="98">
        <f t="shared" si="115"/>
        <v>0</v>
      </c>
      <c r="W404" s="98">
        <f t="shared" si="116"/>
        <v>0</v>
      </c>
      <c r="X404" s="98">
        <f t="shared" si="117"/>
        <v>0</v>
      </c>
      <c r="Y404" s="104"/>
      <c r="Z404" s="105"/>
    </row>
    <row r="405" spans="1:26" s="101" customFormat="1" ht="31.5" customHeight="1">
      <c r="A405" s="5"/>
      <c r="B405" s="6"/>
      <c r="C405" s="6"/>
      <c r="D405" s="82"/>
      <c r="E405" s="106" t="s">
        <v>678</v>
      </c>
      <c r="F405" s="110"/>
      <c r="G405" s="98">
        <f t="shared" si="118"/>
        <v>24298.7</v>
      </c>
      <c r="H405" s="111">
        <f>+H406+H407</f>
        <v>24298.7</v>
      </c>
      <c r="I405" s="111">
        <f aca="true" t="shared" si="119" ref="I405:X405">+I406</f>
        <v>0</v>
      </c>
      <c r="J405" s="98">
        <f t="shared" si="95"/>
        <v>9000</v>
      </c>
      <c r="K405" s="111">
        <f t="shared" si="119"/>
        <v>9000</v>
      </c>
      <c r="L405" s="111">
        <f t="shared" si="119"/>
        <v>0</v>
      </c>
      <c r="M405" s="98">
        <f t="shared" si="96"/>
        <v>7000</v>
      </c>
      <c r="N405" s="111">
        <f>+N406+N407</f>
        <v>7000</v>
      </c>
      <c r="O405" s="111">
        <f t="shared" si="119"/>
        <v>0</v>
      </c>
      <c r="P405" s="98">
        <f t="shared" si="109"/>
        <v>-2000</v>
      </c>
      <c r="Q405" s="98">
        <f t="shared" si="110"/>
        <v>-2000</v>
      </c>
      <c r="R405" s="98">
        <f t="shared" si="111"/>
        <v>0</v>
      </c>
      <c r="S405" s="98">
        <f t="shared" si="112"/>
        <v>7000</v>
      </c>
      <c r="T405" s="98">
        <f t="shared" si="113"/>
        <v>7000</v>
      </c>
      <c r="U405" s="98">
        <f t="shared" si="114"/>
        <v>0</v>
      </c>
      <c r="V405" s="98">
        <f t="shared" si="115"/>
        <v>7000</v>
      </c>
      <c r="W405" s="98">
        <f t="shared" si="116"/>
        <v>7000</v>
      </c>
      <c r="X405" s="98">
        <f t="shared" si="117"/>
        <v>0</v>
      </c>
      <c r="Y405" s="99"/>
      <c r="Z405" s="100"/>
    </row>
    <row r="406" spans="1:26" ht="12.75" customHeight="1">
      <c r="A406" s="12"/>
      <c r="B406" s="14"/>
      <c r="C406" s="14"/>
      <c r="D406" s="102"/>
      <c r="E406" s="13" t="s">
        <v>724</v>
      </c>
      <c r="F406" s="14">
        <v>4726</v>
      </c>
      <c r="G406" s="98">
        <f t="shared" si="118"/>
        <v>1240</v>
      </c>
      <c r="H406" s="45">
        <v>1240</v>
      </c>
      <c r="I406" s="45"/>
      <c r="J406" s="98">
        <f t="shared" si="95"/>
        <v>9000</v>
      </c>
      <c r="K406" s="54">
        <v>9000</v>
      </c>
      <c r="L406" s="54"/>
      <c r="M406" s="98">
        <f t="shared" si="96"/>
        <v>0</v>
      </c>
      <c r="N406" s="45"/>
      <c r="O406" s="45"/>
      <c r="P406" s="98">
        <f t="shared" si="109"/>
        <v>-9000</v>
      </c>
      <c r="Q406" s="98">
        <f t="shared" si="110"/>
        <v>-9000</v>
      </c>
      <c r="R406" s="98">
        <f t="shared" si="111"/>
        <v>0</v>
      </c>
      <c r="S406" s="98">
        <f t="shared" si="112"/>
        <v>0</v>
      </c>
      <c r="T406" s="98">
        <f t="shared" si="113"/>
        <v>0</v>
      </c>
      <c r="U406" s="98">
        <f t="shared" si="114"/>
        <v>0</v>
      </c>
      <c r="V406" s="98">
        <f t="shared" si="115"/>
        <v>0</v>
      </c>
      <c r="W406" s="98">
        <f t="shared" si="116"/>
        <v>0</v>
      </c>
      <c r="X406" s="98">
        <f t="shared" si="117"/>
        <v>0</v>
      </c>
      <c r="Y406" s="104"/>
      <c r="Z406" s="105"/>
    </row>
    <row r="407" spans="1:26" ht="12.75" customHeight="1">
      <c r="A407" s="12"/>
      <c r="B407" s="14"/>
      <c r="C407" s="14"/>
      <c r="D407" s="102"/>
      <c r="E407" s="103" t="s">
        <v>488</v>
      </c>
      <c r="F407" s="26">
        <v>4729</v>
      </c>
      <c r="G407" s="98">
        <f t="shared" si="118"/>
        <v>23058.7</v>
      </c>
      <c r="H407" s="45">
        <f>380+22678.7</f>
        <v>23058.7</v>
      </c>
      <c r="I407" s="45"/>
      <c r="J407" s="98"/>
      <c r="K407" s="54"/>
      <c r="L407" s="54"/>
      <c r="M407" s="98"/>
      <c r="N407" s="45">
        <v>7000</v>
      </c>
      <c r="O407" s="45"/>
      <c r="P407" s="98">
        <f t="shared" si="109"/>
        <v>0</v>
      </c>
      <c r="Q407" s="98">
        <f t="shared" si="110"/>
        <v>7000</v>
      </c>
      <c r="R407" s="98">
        <f t="shared" si="111"/>
        <v>0</v>
      </c>
      <c r="S407" s="98">
        <f t="shared" si="112"/>
        <v>0</v>
      </c>
      <c r="T407" s="98">
        <f t="shared" si="113"/>
        <v>7000</v>
      </c>
      <c r="U407" s="98">
        <f t="shared" si="114"/>
        <v>0</v>
      </c>
      <c r="V407" s="98">
        <f t="shared" si="115"/>
        <v>0</v>
      </c>
      <c r="W407" s="98">
        <f t="shared" si="116"/>
        <v>7000</v>
      </c>
      <c r="X407" s="98">
        <f t="shared" si="117"/>
        <v>0</v>
      </c>
      <c r="Y407" s="104"/>
      <c r="Z407" s="105"/>
    </row>
    <row r="408" spans="1:26" s="101" customFormat="1" ht="37.5" customHeight="1">
      <c r="A408" s="5" t="s">
        <v>364</v>
      </c>
      <c r="B408" s="6" t="s">
        <v>365</v>
      </c>
      <c r="C408" s="6" t="s">
        <v>194</v>
      </c>
      <c r="D408" s="82" t="s">
        <v>194</v>
      </c>
      <c r="E408" s="106" t="s">
        <v>366</v>
      </c>
      <c r="F408" s="110"/>
      <c r="G408" s="98">
        <v>0</v>
      </c>
      <c r="H408" s="111">
        <f>+H410</f>
        <v>59064.2</v>
      </c>
      <c r="I408" s="111">
        <f>+I410</f>
        <v>0</v>
      </c>
      <c r="J408" s="98">
        <f t="shared" si="95"/>
        <v>161000</v>
      </c>
      <c r="K408" s="111">
        <f>+K410</f>
        <v>161000</v>
      </c>
      <c r="L408" s="111">
        <f>+L410</f>
        <v>0</v>
      </c>
      <c r="M408" s="98">
        <f t="shared" si="96"/>
        <v>170000</v>
      </c>
      <c r="N408" s="111">
        <f>+N410</f>
        <v>170000</v>
      </c>
      <c r="O408" s="111">
        <f>+O410</f>
        <v>0</v>
      </c>
      <c r="P408" s="98">
        <f t="shared" si="109"/>
        <v>9000</v>
      </c>
      <c r="Q408" s="98">
        <f t="shared" si="110"/>
        <v>9000</v>
      </c>
      <c r="R408" s="98">
        <f t="shared" si="111"/>
        <v>0</v>
      </c>
      <c r="S408" s="98">
        <f t="shared" si="112"/>
        <v>170000</v>
      </c>
      <c r="T408" s="98">
        <f t="shared" si="113"/>
        <v>170000</v>
      </c>
      <c r="U408" s="98">
        <f t="shared" si="114"/>
        <v>0</v>
      </c>
      <c r="V408" s="98">
        <f t="shared" si="115"/>
        <v>170000</v>
      </c>
      <c r="W408" s="98">
        <f t="shared" si="116"/>
        <v>170000</v>
      </c>
      <c r="X408" s="98">
        <f t="shared" si="117"/>
        <v>0</v>
      </c>
      <c r="Y408" s="99"/>
      <c r="Z408" s="100"/>
    </row>
    <row r="409" spans="1:26" ht="16.5" customHeight="1">
      <c r="A409" s="12"/>
      <c r="B409" s="14"/>
      <c r="C409" s="14"/>
      <c r="D409" s="102"/>
      <c r="E409" s="103" t="s">
        <v>5</v>
      </c>
      <c r="F409" s="102"/>
      <c r="G409" s="98">
        <f t="shared" si="118"/>
        <v>0</v>
      </c>
      <c r="H409" s="45"/>
      <c r="I409" s="45"/>
      <c r="J409" s="98">
        <f t="shared" si="95"/>
        <v>0</v>
      </c>
      <c r="K409" s="54"/>
      <c r="L409" s="54"/>
      <c r="M409" s="98">
        <f t="shared" si="96"/>
        <v>0</v>
      </c>
      <c r="N409" s="45"/>
      <c r="O409" s="45"/>
      <c r="P409" s="98">
        <f t="shared" si="109"/>
        <v>0</v>
      </c>
      <c r="Q409" s="98">
        <f t="shared" si="110"/>
        <v>0</v>
      </c>
      <c r="R409" s="98">
        <f t="shared" si="111"/>
        <v>0</v>
      </c>
      <c r="S409" s="98">
        <f t="shared" si="112"/>
        <v>0</v>
      </c>
      <c r="T409" s="98">
        <f t="shared" si="113"/>
        <v>0</v>
      </c>
      <c r="U409" s="98">
        <f t="shared" si="114"/>
        <v>0</v>
      </c>
      <c r="V409" s="98">
        <f t="shared" si="115"/>
        <v>0</v>
      </c>
      <c r="W409" s="98">
        <f t="shared" si="116"/>
        <v>0</v>
      </c>
      <c r="X409" s="98">
        <f t="shared" si="117"/>
        <v>0</v>
      </c>
      <c r="Y409" s="104"/>
      <c r="Z409" s="105"/>
    </row>
    <row r="410" spans="1:26" s="101" customFormat="1" ht="30.75" customHeight="1">
      <c r="A410" s="5" t="s">
        <v>367</v>
      </c>
      <c r="B410" s="6" t="s">
        <v>365</v>
      </c>
      <c r="C410" s="6" t="s">
        <v>197</v>
      </c>
      <c r="D410" s="82" t="s">
        <v>194</v>
      </c>
      <c r="E410" s="106" t="s">
        <v>368</v>
      </c>
      <c r="F410" s="110"/>
      <c r="G410" s="98">
        <v>0</v>
      </c>
      <c r="H410" s="111">
        <f>+H412</f>
        <v>59064.2</v>
      </c>
      <c r="I410" s="111">
        <f>+I412</f>
        <v>0</v>
      </c>
      <c r="J410" s="98">
        <f t="shared" si="95"/>
        <v>161000</v>
      </c>
      <c r="K410" s="111">
        <f>+K412</f>
        <v>161000</v>
      </c>
      <c r="L410" s="111">
        <f>+L412</f>
        <v>0</v>
      </c>
      <c r="M410" s="98">
        <f t="shared" si="96"/>
        <v>170000</v>
      </c>
      <c r="N410" s="111">
        <f>+N412</f>
        <v>170000</v>
      </c>
      <c r="O410" s="111">
        <f>+O412</f>
        <v>0</v>
      </c>
      <c r="P410" s="98">
        <f t="shared" si="109"/>
        <v>9000</v>
      </c>
      <c r="Q410" s="98">
        <f t="shared" si="110"/>
        <v>9000</v>
      </c>
      <c r="R410" s="98">
        <f t="shared" si="111"/>
        <v>0</v>
      </c>
      <c r="S410" s="98">
        <f t="shared" si="112"/>
        <v>170000</v>
      </c>
      <c r="T410" s="98">
        <f t="shared" si="113"/>
        <v>170000</v>
      </c>
      <c r="U410" s="98">
        <f t="shared" si="114"/>
        <v>0</v>
      </c>
      <c r="V410" s="98">
        <f t="shared" si="115"/>
        <v>170000</v>
      </c>
      <c r="W410" s="98">
        <f t="shared" si="116"/>
        <v>170000</v>
      </c>
      <c r="X410" s="98">
        <f t="shared" si="117"/>
        <v>0</v>
      </c>
      <c r="Y410" s="99"/>
      <c r="Z410" s="100"/>
    </row>
    <row r="411" spans="1:26" ht="22.5" customHeight="1">
      <c r="A411" s="12"/>
      <c r="B411" s="14"/>
      <c r="C411" s="14"/>
      <c r="D411" s="102"/>
      <c r="E411" s="103" t="s">
        <v>199</v>
      </c>
      <c r="F411" s="102"/>
      <c r="G411" s="98">
        <f t="shared" si="118"/>
        <v>0</v>
      </c>
      <c r="H411" s="45"/>
      <c r="I411" s="45"/>
      <c r="J411" s="98">
        <f t="shared" si="95"/>
        <v>0</v>
      </c>
      <c r="K411" s="54"/>
      <c r="L411" s="54"/>
      <c r="M411" s="98">
        <f t="shared" si="96"/>
        <v>0</v>
      </c>
      <c r="N411" s="45"/>
      <c r="O411" s="45"/>
      <c r="P411" s="98">
        <f t="shared" si="109"/>
        <v>0</v>
      </c>
      <c r="Q411" s="98">
        <f t="shared" si="110"/>
        <v>0</v>
      </c>
      <c r="R411" s="98">
        <f t="shared" si="111"/>
        <v>0</v>
      </c>
      <c r="S411" s="98">
        <f t="shared" si="112"/>
        <v>0</v>
      </c>
      <c r="T411" s="98">
        <f t="shared" si="113"/>
        <v>0</v>
      </c>
      <c r="U411" s="98">
        <f t="shared" si="114"/>
        <v>0</v>
      </c>
      <c r="V411" s="98">
        <f t="shared" si="115"/>
        <v>0</v>
      </c>
      <c r="W411" s="98">
        <f t="shared" si="116"/>
        <v>0</v>
      </c>
      <c r="X411" s="98">
        <f t="shared" si="117"/>
        <v>0</v>
      </c>
      <c r="Y411" s="104"/>
      <c r="Z411" s="105"/>
    </row>
    <row r="412" spans="1:26" ht="18.75" customHeight="1">
      <c r="A412" s="25" t="s">
        <v>369</v>
      </c>
      <c r="B412" s="26" t="s">
        <v>365</v>
      </c>
      <c r="C412" s="26" t="s">
        <v>197</v>
      </c>
      <c r="D412" s="26" t="s">
        <v>221</v>
      </c>
      <c r="E412" s="103" t="s">
        <v>370</v>
      </c>
      <c r="F412" s="102"/>
      <c r="G412" s="98">
        <v>0</v>
      </c>
      <c r="H412" s="54">
        <f>+H414</f>
        <v>59064.2</v>
      </c>
      <c r="I412" s="54">
        <f>+I414</f>
        <v>0</v>
      </c>
      <c r="J412" s="98">
        <f t="shared" si="95"/>
        <v>161000</v>
      </c>
      <c r="K412" s="54">
        <f>+K414</f>
        <v>161000</v>
      </c>
      <c r="L412" s="54">
        <f>+L414</f>
        <v>0</v>
      </c>
      <c r="M412" s="98">
        <f t="shared" si="96"/>
        <v>170000</v>
      </c>
      <c r="N412" s="54">
        <f>+N414</f>
        <v>170000</v>
      </c>
      <c r="O412" s="54">
        <f>+O414</f>
        <v>0</v>
      </c>
      <c r="P412" s="98">
        <f t="shared" si="109"/>
        <v>9000</v>
      </c>
      <c r="Q412" s="98">
        <f t="shared" si="110"/>
        <v>9000</v>
      </c>
      <c r="R412" s="98">
        <f t="shared" si="111"/>
        <v>0</v>
      </c>
      <c r="S412" s="98">
        <f t="shared" si="112"/>
        <v>170000</v>
      </c>
      <c r="T412" s="98">
        <f t="shared" si="113"/>
        <v>170000</v>
      </c>
      <c r="U412" s="98">
        <f t="shared" si="114"/>
        <v>0</v>
      </c>
      <c r="V412" s="98">
        <f t="shared" si="115"/>
        <v>170000</v>
      </c>
      <c r="W412" s="98">
        <f t="shared" si="116"/>
        <v>170000</v>
      </c>
      <c r="X412" s="98">
        <f t="shared" si="117"/>
        <v>0</v>
      </c>
      <c r="Y412" s="54"/>
      <c r="Z412" s="105"/>
    </row>
    <row r="413" spans="1:26" ht="18.75" customHeight="1">
      <c r="A413" s="12"/>
      <c r="B413" s="14"/>
      <c r="C413" s="14"/>
      <c r="D413" s="102"/>
      <c r="E413" s="103" t="s">
        <v>5</v>
      </c>
      <c r="F413" s="102"/>
      <c r="G413" s="98">
        <f t="shared" si="118"/>
        <v>0</v>
      </c>
      <c r="H413" s="45"/>
      <c r="I413" s="45"/>
      <c r="J413" s="98"/>
      <c r="K413" s="54"/>
      <c r="L413" s="54"/>
      <c r="M413" s="98">
        <f t="shared" si="96"/>
        <v>0</v>
      </c>
      <c r="N413" s="45"/>
      <c r="O413" s="45"/>
      <c r="P413" s="98">
        <f t="shared" si="109"/>
        <v>0</v>
      </c>
      <c r="Q413" s="98">
        <f t="shared" si="110"/>
        <v>0</v>
      </c>
      <c r="R413" s="98">
        <f t="shared" si="111"/>
        <v>0</v>
      </c>
      <c r="S413" s="98">
        <f t="shared" si="112"/>
        <v>0</v>
      </c>
      <c r="T413" s="98">
        <f t="shared" si="113"/>
        <v>0</v>
      </c>
      <c r="U413" s="98">
        <f t="shared" si="114"/>
        <v>0</v>
      </c>
      <c r="V413" s="98">
        <f t="shared" si="115"/>
        <v>0</v>
      </c>
      <c r="W413" s="98">
        <f t="shared" si="116"/>
        <v>0</v>
      </c>
      <c r="X413" s="98">
        <f t="shared" si="117"/>
        <v>0</v>
      </c>
      <c r="Y413" s="104"/>
      <c r="Z413" s="105"/>
    </row>
    <row r="414" spans="1:26" ht="18.75" customHeight="1">
      <c r="A414" s="12"/>
      <c r="B414" s="14"/>
      <c r="C414" s="14"/>
      <c r="D414" s="102"/>
      <c r="E414" s="103" t="s">
        <v>510</v>
      </c>
      <c r="F414" s="102" t="s">
        <v>511</v>
      </c>
      <c r="G414" s="98">
        <v>0</v>
      </c>
      <c r="H414" s="45">
        <v>59064.2</v>
      </c>
      <c r="I414" s="45"/>
      <c r="J414" s="98">
        <f t="shared" si="95"/>
        <v>161000</v>
      </c>
      <c r="K414" s="54">
        <v>161000</v>
      </c>
      <c r="L414" s="54"/>
      <c r="M414" s="98">
        <f t="shared" si="96"/>
        <v>170000</v>
      </c>
      <c r="N414" s="45">
        <v>170000</v>
      </c>
      <c r="O414" s="45"/>
      <c r="P414" s="98">
        <f t="shared" si="109"/>
        <v>9000</v>
      </c>
      <c r="Q414" s="98">
        <f t="shared" si="110"/>
        <v>9000</v>
      </c>
      <c r="R414" s="98">
        <f t="shared" si="111"/>
        <v>0</v>
      </c>
      <c r="S414" s="98">
        <f t="shared" si="112"/>
        <v>170000</v>
      </c>
      <c r="T414" s="98">
        <f t="shared" si="113"/>
        <v>170000</v>
      </c>
      <c r="U414" s="98">
        <f t="shared" si="114"/>
        <v>0</v>
      </c>
      <c r="V414" s="98">
        <f t="shared" si="115"/>
        <v>170000</v>
      </c>
      <c r="W414" s="98">
        <f t="shared" si="116"/>
        <v>170000</v>
      </c>
      <c r="X414" s="98">
        <f t="shared" si="117"/>
        <v>0</v>
      </c>
      <c r="Y414" s="104"/>
      <c r="Z414" s="105"/>
    </row>
    <row r="415" spans="1:26" ht="19.5" customHeight="1" thickBot="1">
      <c r="A415" s="17"/>
      <c r="B415" s="18"/>
      <c r="C415" s="18"/>
      <c r="D415" s="127"/>
      <c r="E415" s="128" t="s">
        <v>599</v>
      </c>
      <c r="F415" s="29" t="s">
        <v>376</v>
      </c>
      <c r="G415" s="98">
        <f t="shared" si="118"/>
        <v>0</v>
      </c>
      <c r="H415" s="129"/>
      <c r="I415" s="129"/>
      <c r="J415" s="98">
        <f t="shared" si="95"/>
        <v>0</v>
      </c>
      <c r="K415" s="130"/>
      <c r="L415" s="130"/>
      <c r="M415" s="98">
        <f t="shared" si="96"/>
        <v>0</v>
      </c>
      <c r="N415" s="129"/>
      <c r="O415" s="129"/>
      <c r="P415" s="98">
        <f t="shared" si="109"/>
        <v>0</v>
      </c>
      <c r="Q415" s="98">
        <f t="shared" si="110"/>
        <v>0</v>
      </c>
      <c r="R415" s="98">
        <f t="shared" si="111"/>
        <v>0</v>
      </c>
      <c r="S415" s="98">
        <f t="shared" si="112"/>
        <v>0</v>
      </c>
      <c r="T415" s="98">
        <f t="shared" si="113"/>
        <v>0</v>
      </c>
      <c r="U415" s="98">
        <f t="shared" si="114"/>
        <v>0</v>
      </c>
      <c r="V415" s="98">
        <f t="shared" si="115"/>
        <v>0</v>
      </c>
      <c r="W415" s="98">
        <f t="shared" si="116"/>
        <v>0</v>
      </c>
      <c r="X415" s="98">
        <f t="shared" si="117"/>
        <v>0</v>
      </c>
      <c r="Y415" s="131"/>
      <c r="Z415" s="105"/>
    </row>
    <row r="416" spans="7:26" ht="10.5">
      <c r="G416" s="132"/>
      <c r="H416" s="132"/>
      <c r="I416" s="132"/>
      <c r="J416" s="132"/>
      <c r="K416" s="132"/>
      <c r="L416" s="132"/>
      <c r="M416" s="133"/>
      <c r="N416" s="133"/>
      <c r="O416" s="133"/>
      <c r="P416" s="133"/>
      <c r="Q416" s="133"/>
      <c r="R416" s="133"/>
      <c r="S416" s="133"/>
      <c r="T416" s="133"/>
      <c r="U416" s="133"/>
      <c r="V416" s="133"/>
      <c r="W416" s="133"/>
      <c r="X416" s="133"/>
      <c r="Y416" s="105"/>
      <c r="Z416" s="105"/>
    </row>
    <row r="417" spans="7:26" ht="10.5">
      <c r="G417" s="132"/>
      <c r="H417" s="132"/>
      <c r="I417" s="132"/>
      <c r="J417" s="132"/>
      <c r="K417" s="132"/>
      <c r="L417" s="132"/>
      <c r="M417" s="133"/>
      <c r="N417" s="133"/>
      <c r="O417" s="133"/>
      <c r="P417" s="133"/>
      <c r="Q417" s="133"/>
      <c r="R417" s="133"/>
      <c r="S417" s="133"/>
      <c r="T417" s="133"/>
      <c r="U417" s="133"/>
      <c r="V417" s="133"/>
      <c r="W417" s="133"/>
      <c r="X417" s="133"/>
      <c r="Y417" s="105"/>
      <c r="Z417" s="105"/>
    </row>
    <row r="418" spans="7:26" ht="10.5">
      <c r="G418" s="132"/>
      <c r="H418" s="132"/>
      <c r="I418" s="132"/>
      <c r="J418" s="132"/>
      <c r="K418" s="132"/>
      <c r="L418" s="132"/>
      <c r="M418" s="133"/>
      <c r="N418" s="133"/>
      <c r="O418" s="133"/>
      <c r="P418" s="133"/>
      <c r="Q418" s="133"/>
      <c r="R418" s="133"/>
      <c r="S418" s="133"/>
      <c r="T418" s="133"/>
      <c r="U418" s="133"/>
      <c r="V418" s="133"/>
      <c r="W418" s="133"/>
      <c r="X418" s="133"/>
      <c r="Y418" s="105"/>
      <c r="Z418" s="105"/>
    </row>
    <row r="419" spans="7:26" ht="10.5">
      <c r="G419" s="132"/>
      <c r="H419" s="132"/>
      <c r="I419" s="132"/>
      <c r="J419" s="132"/>
      <c r="K419" s="132"/>
      <c r="L419" s="132"/>
      <c r="M419" s="133"/>
      <c r="N419" s="133"/>
      <c r="O419" s="133"/>
      <c r="P419" s="133"/>
      <c r="Q419" s="133"/>
      <c r="R419" s="133"/>
      <c r="S419" s="133"/>
      <c r="T419" s="133"/>
      <c r="U419" s="133"/>
      <c r="V419" s="133"/>
      <c r="W419" s="133"/>
      <c r="X419" s="133"/>
      <c r="Y419" s="105"/>
      <c r="Z419" s="105"/>
    </row>
    <row r="420" spans="7:26" ht="10.5">
      <c r="G420" s="132"/>
      <c r="H420" s="132"/>
      <c r="I420" s="132"/>
      <c r="J420" s="132"/>
      <c r="K420" s="132"/>
      <c r="L420" s="132"/>
      <c r="M420" s="133"/>
      <c r="N420" s="133"/>
      <c r="O420" s="133"/>
      <c r="P420" s="133"/>
      <c r="Q420" s="133"/>
      <c r="R420" s="133"/>
      <c r="S420" s="133"/>
      <c r="T420" s="133"/>
      <c r="U420" s="133"/>
      <c r="V420" s="133"/>
      <c r="W420" s="133"/>
      <c r="X420" s="133"/>
      <c r="Y420" s="105"/>
      <c r="Z420" s="105"/>
    </row>
    <row r="421" spans="7:26" ht="10.5">
      <c r="G421" s="132"/>
      <c r="H421" s="132"/>
      <c r="I421" s="132"/>
      <c r="J421" s="132"/>
      <c r="K421" s="132"/>
      <c r="L421" s="132"/>
      <c r="M421" s="133"/>
      <c r="N421" s="133"/>
      <c r="O421" s="133"/>
      <c r="P421" s="133"/>
      <c r="Q421" s="133"/>
      <c r="R421" s="133"/>
      <c r="S421" s="133"/>
      <c r="T421" s="133"/>
      <c r="U421" s="133"/>
      <c r="V421" s="133"/>
      <c r="W421" s="133"/>
      <c r="X421" s="133"/>
      <c r="Y421" s="105"/>
      <c r="Z421" s="105"/>
    </row>
  </sheetData>
  <sheetProtection/>
  <mergeCells count="28">
    <mergeCell ref="S2:U2"/>
    <mergeCell ref="W2:Y2"/>
    <mergeCell ref="A4:Y4"/>
    <mergeCell ref="A6:A8"/>
    <mergeCell ref="B6:B8"/>
    <mergeCell ref="C6:C8"/>
    <mergeCell ref="D6:D8"/>
    <mergeCell ref="E6:E8"/>
    <mergeCell ref="F6:F8"/>
    <mergeCell ref="G6:I6"/>
    <mergeCell ref="J6:L6"/>
    <mergeCell ref="M6:O6"/>
    <mergeCell ref="P6:R6"/>
    <mergeCell ref="S6:U6"/>
    <mergeCell ref="V6:X6"/>
    <mergeCell ref="G7:G8"/>
    <mergeCell ref="H7:I7"/>
    <mergeCell ref="J7:J8"/>
    <mergeCell ref="K7:L7"/>
    <mergeCell ref="M7:M8"/>
    <mergeCell ref="N7:O7"/>
    <mergeCell ref="P7:P8"/>
    <mergeCell ref="Q7:R7"/>
    <mergeCell ref="S7:S8"/>
    <mergeCell ref="T7:U7"/>
    <mergeCell ref="V7:V8"/>
    <mergeCell ref="W7:X7"/>
    <mergeCell ref="Y7:Y8"/>
  </mergeCells>
  <printOptions/>
  <pageMargins left="0" right="0" top="0" bottom="0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Hetum Hamamchyan</dc:creator>
  <cp:keywords/>
  <dc:description/>
  <cp:lastModifiedBy>User</cp:lastModifiedBy>
  <cp:lastPrinted>2022-12-01T07:35:00Z</cp:lastPrinted>
  <dcterms:created xsi:type="dcterms:W3CDTF">2022-06-16T10:33:45Z</dcterms:created>
  <dcterms:modified xsi:type="dcterms:W3CDTF">2022-12-01T07:35:20Z</dcterms:modified>
  <cp:category/>
  <cp:version/>
  <cp:contentType/>
  <cp:contentStatus/>
</cp:coreProperties>
</file>